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wonaS\Desktop\PRZETARG NOWY ŁAD\"/>
    </mc:Choice>
  </mc:AlternateContent>
  <xr:revisionPtr revIDLastSave="0" documentId="8_{6657A17E-521B-4676-9C08-A888847BCBAE}" xr6:coauthVersionLast="47" xr6:coauthVersionMax="47" xr10:uidLastSave="{00000000-0000-0000-0000-000000000000}"/>
  <bookViews>
    <workbookView xWindow="-120" yWindow="-120" windowWidth="29040" windowHeight="15840" xr2:uid="{E81E94B9-758C-419F-A97D-4F6BD3167D8F}"/>
  </bookViews>
  <sheets>
    <sheet name="Arkusz1" sheetId="1" r:id="rId1"/>
  </sheets>
  <definedNames>
    <definedName name="_xlnm.Print_Area" localSheetId="0">Arkusz1!$A$1:$H$464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1" i="1" l="1"/>
  <c r="E405" i="1"/>
  <c r="E404" i="1"/>
  <c r="E403" i="1"/>
  <c r="E402" i="1"/>
  <c r="E359" i="1"/>
  <c r="E357" i="1"/>
  <c r="E311" i="1"/>
  <c r="E273" i="1"/>
  <c r="E169" i="1"/>
  <c r="E170" i="1"/>
  <c r="E191" i="1"/>
  <c r="E189" i="1"/>
  <c r="E49" i="1"/>
  <c r="E37" i="1"/>
  <c r="E36" i="1"/>
  <c r="E35" i="1"/>
  <c r="E34" i="1"/>
  <c r="E33" i="1"/>
  <c r="E32" i="1"/>
  <c r="E38" i="1"/>
  <c r="E175" i="1"/>
  <c r="E178" i="1"/>
  <c r="E285" i="1"/>
  <c r="E271" i="1"/>
  <c r="E274" i="1"/>
  <c r="E272" i="1"/>
  <c r="E261" i="1"/>
  <c r="E230" i="1"/>
  <c r="E235" i="1"/>
  <c r="E239" i="1"/>
  <c r="E238" i="1"/>
  <c r="E141" i="1"/>
  <c r="E158" i="1"/>
  <c r="E146" i="1"/>
  <c r="E149" i="1"/>
  <c r="E79" i="1"/>
  <c r="E81" i="1"/>
  <c r="E80" i="1"/>
  <c r="E130" i="1"/>
  <c r="E106" i="1"/>
  <c r="E119" i="1"/>
  <c r="E118" i="1"/>
  <c r="E117" i="1"/>
  <c r="E116" i="1"/>
  <c r="E157" i="1"/>
  <c r="E140" i="1"/>
  <c r="E129" i="1"/>
  <c r="E96" i="1"/>
  <c r="E94" i="1"/>
  <c r="E68" i="1"/>
  <c r="E17" i="1"/>
  <c r="E53" i="1"/>
  <c r="E52" i="1"/>
  <c r="E29" i="1"/>
  <c r="E220" i="1"/>
  <c r="E200" i="1"/>
  <c r="E209" i="1"/>
  <c r="E210" i="1"/>
  <c r="E205" i="1"/>
  <c r="E208" i="1"/>
  <c r="E350" i="1"/>
  <c r="E348" i="1"/>
  <c r="E315" i="1"/>
  <c r="E313" i="1"/>
  <c r="E301" i="1"/>
  <c r="E300" i="1"/>
  <c r="E298" i="1"/>
  <c r="E391" i="1"/>
  <c r="E413" i="1"/>
  <c r="E310" i="1" l="1"/>
  <c r="E107" i="1"/>
  <c r="E142" i="1"/>
  <c r="E390" i="1"/>
  <c r="E28" i="1"/>
  <c r="E168" i="1"/>
  <c r="E269" i="1"/>
  <c r="E30" i="1"/>
  <c r="E176" i="1"/>
  <c r="E231" i="1"/>
  <c r="E236" i="1"/>
  <c r="E77" i="1"/>
  <c r="E72" i="1"/>
  <c r="E147" i="1"/>
  <c r="E112" i="1"/>
  <c r="E114" i="1"/>
  <c r="E204" i="1"/>
  <c r="E206" i="1"/>
  <c r="E349" i="1"/>
  <c r="E358" i="1"/>
  <c r="E360" i="1"/>
  <c r="E319" i="1"/>
  <c r="E397" i="1"/>
  <c r="E399" i="1"/>
  <c r="E145" i="1" l="1"/>
  <c r="E174" i="1"/>
  <c r="E262" i="1"/>
  <c r="E75" i="1"/>
  <c r="E347" i="1"/>
  <c r="E355" i="1"/>
  <c r="E234" i="1"/>
  <c r="E314" i="1"/>
  <c r="E312" i="1"/>
  <c r="E267" i="1" l="1"/>
  <c r="E353" i="1"/>
  <c r="E306" i="1"/>
  <c r="E308" i="1"/>
</calcChain>
</file>

<file path=xl/sharedStrings.xml><?xml version="1.0" encoding="utf-8"?>
<sst xmlns="http://schemas.openxmlformats.org/spreadsheetml/2006/main" count="1219" uniqueCount="579">
  <si>
    <t>L.p.</t>
  </si>
  <si>
    <t>Wyszczególnienie elementów rozliczeniowych</t>
  </si>
  <si>
    <t>J.m.</t>
  </si>
  <si>
    <t>Ilość</t>
  </si>
  <si>
    <t>Cena jedn. PLN</t>
  </si>
  <si>
    <t>Wartość netto PLN</t>
  </si>
  <si>
    <t>Roboty przygotowawcze i rozbiórkowe</t>
  </si>
  <si>
    <t>Pomiary geodezyjne, wytyczenie  w terenie osi głównych, pomiary geodezyjne realizacyjne, sporządzanie dokumentacji powykonawczej, inwentaryzacji, map geodezyjnych powykonawczych oraz pomiary kontrolne i sprawdzające.</t>
  </si>
  <si>
    <t>km</t>
  </si>
  <si>
    <t>Usunięcie warstwy ziemi urodzajnej (humusu) o grubości do 15 cm za pomocą spycharek</t>
  </si>
  <si>
    <t xml:space="preserve"> Rozebranie nawierzchni z kostki betonowe - nawierzchnia zjazdu (materiał należy złożyć na paletach do ponownego ułożenia)</t>
  </si>
  <si>
    <t xml:space="preserve"> Rozebranie nawierzchni betonowej gr. do 15 cm wraz z wywozem na odkład Wykonawcy.</t>
  </si>
  <si>
    <t>Rozebranie istn.  krawężników betonowych, obrzeży betonowych na podsypce cementowo-piaskowej z ława betonową wraz z wywozem na odkład Wykonawcy.</t>
  </si>
  <si>
    <t>m</t>
  </si>
  <si>
    <t>Rozebranie nawierzchni z płytek betonowych- nawierzchnia chodnika.</t>
  </si>
  <si>
    <t>Roboty ziemne</t>
  </si>
  <si>
    <t>Roboty ziemne - wykop pod projektowane warstwy konstrukcyjne związane z wykonaniem koryta z transportem urobku na odkład Wykonawcy.</t>
  </si>
  <si>
    <t>Roboty ziemne - formowanie i zagęszczanie nasypów o wysokości do 3,0m wraz z dowozem materiału - wymiana gruntu.</t>
  </si>
  <si>
    <t>Mechaniczne profilowanie i zagęszczanie podłoża pod warstwy konstrukcyjne nawierzchni.</t>
  </si>
  <si>
    <t>Podbudowy</t>
  </si>
  <si>
    <t>Podbudowa z mieszanki kruszyw niezwiązanych, stabilizowanych mechanicznie #0/31,5, C90/3 (przekrusz z litej skały) o grubości po zagęszczeniu 15 cm. Warstwa konstrukcyjna utwardzenia działki budowlanej.</t>
  </si>
  <si>
    <t>Podbudowa z mieszanki kruszyw niezwiązanych, stabilizowanych mechanicznie #0/31,5, C90/3 (przekrusz z litej skały) o grubości po zagęszczeniu 10 cm. Warstwa konstrukcyjna chodników.</t>
  </si>
  <si>
    <t>Podbudowa z mieszanki kruszyw związanych spoiwen hydraulicznym C1,5/2 o grubości po zagęszczeniu 15 cm. Warstwa konstrukcyjna zjazdów z kostki pełnej.</t>
  </si>
  <si>
    <t>Podbudowa z mieszanki kruszyw związanych spoiwen hydraulicznym C1,5/2 o grubości po zagęszczeniu 10 cm. Warstwa konstrukcyjna chodników.</t>
  </si>
  <si>
    <t>Nawierzchnie</t>
  </si>
  <si>
    <t>Nawierzchnia zjazdu z kostki betonowej grafitowej 10x20 cm, o gr. 8 cm, na podsypce cem.-piaskowej gr. 5 cm.</t>
  </si>
  <si>
    <t>Nawierzchnia chodnika z kostki betonowej, szarej gr. 8 cm 10x20 cm na podsypce cem.-piaskowej gr. 3 cm,</t>
  </si>
  <si>
    <t>Elementy ulic</t>
  </si>
  <si>
    <t>Ustawienie krawężników betonowych o wymiarach 15x22 cm na podsypce cementowo-piaskowej z wykonaniem ławy betonowej z oporem klasy C12/15.</t>
  </si>
  <si>
    <t>mb</t>
  </si>
  <si>
    <t>Organizacja ruchu</t>
  </si>
  <si>
    <t>Słupki do znaków drogowych z rur stalowych śr. 60 mm.</t>
  </si>
  <si>
    <t>szt.</t>
  </si>
  <si>
    <t>Wprowadzenie tymczasowej organizacji ruchu na czas budowy.</t>
  </si>
  <si>
    <t>kpl.</t>
  </si>
  <si>
    <t>Roboty wykończeniowe</t>
  </si>
  <si>
    <t>Profilowanie i humusowanie gruntów przyległych wraz z obsianiem mieszanką traw.</t>
  </si>
  <si>
    <t>Oświetlenie, elektryka i teletechnika</t>
  </si>
  <si>
    <t>Zabezpiecznie sieci teletechnicznej i energetycznej rurą ochronną, dwudzielną fi 160.</t>
  </si>
  <si>
    <t>Inne</t>
  </si>
  <si>
    <t>Przebudowa ist. studzienki wpustowej DN500 z osadnikiem i wpustem żeliwnym D400 wraz ze wszelkimi pracami ziemnymi, towarzyszącymi i instalacyjnymi.</t>
  </si>
  <si>
    <t>Wykonanie przyłącza DN200 mm PVC-U SN8 wraz ze studzienką wpustową DN500 z osadnikiem i wpustem żeliwnym D400 wraz ze wszelkimi pracami ziemnymi, towarzyszącymi i instalacyjnymi.</t>
  </si>
  <si>
    <t>Regulacja wszelkich urządzeń infrastruktury towarzyszącej zlokalizowanych w zaprojektowanych nawierzchniach.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</si>
  <si>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</si>
  <si>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3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</si>
  <si>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2</t>
    </r>
  </si>
  <si>
    <r>
      <t>Przymocowanie tablic znaków drogowych zakazu, nakazu, ostrzegawczych, informacyjnych o powierzchni do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</si>
  <si>
    <t>XI. Utwardzenie terenu na działce budowlanej nr 113/3 obręb m. Trzcińsko-Zdrój 2</t>
  </si>
  <si>
    <t>XI.I</t>
  </si>
  <si>
    <t>XI.II.</t>
  </si>
  <si>
    <t>XI.III.</t>
  </si>
  <si>
    <t>XI.IV.</t>
  </si>
  <si>
    <t>XI.V.</t>
  </si>
  <si>
    <t>XI.VII.</t>
  </si>
  <si>
    <t>XI.VIII.</t>
  </si>
  <si>
    <t>XI.IX.</t>
  </si>
  <si>
    <t>Infrastruktura towarzysząca</t>
  </si>
  <si>
    <t>XI.VI.</t>
  </si>
  <si>
    <t>IX.I.</t>
  </si>
  <si>
    <t>Pomiary geodezyjne, wytyczenie  w terenie osi głównych, pomiary geodezyjne realizacyjne, sporządzanie dokumentacji powykonawczej, inwentaryzacji, map geodezyjnych powykonawczych oraz pomiary kontrolne i sprawdzające - łącznie około 440 m2.</t>
  </si>
  <si>
    <t>Rozbiórka ist. nawierzchni betonowej o gr. 15 cm wraz z wywozem gruzu budowlanego na odkład Wykonawcy.</t>
  </si>
  <si>
    <t>Rozebranie istniejącej nawierzchni żużlowo-kruszywowej z domieszką gruzu o gr. śr. 40 cm wraz z wywozem pozyskanego materiału na odkład Wykonawcy i utylizacją.</t>
  </si>
  <si>
    <t>Rozbiórka nawierzchni z z kostki betonowej wraz z wywozem pozyskanego materiału na odkład Wykonawcy i utylizacją. Całkowita rozbiórka.</t>
  </si>
  <si>
    <t>Demontaż słupków stalowych znaków drogowych wraz z wywozem w miejsce wskazane przez Zamawiającego do 5 km.</t>
  </si>
  <si>
    <t>Demontaż tablic znaków drogowych zakazu, nakazu, ostrzegawczych, informacyjnych i tabliczek wraz z wywozem w miejsce wskazane przez Zamawiającego  do 5 km.</t>
  </si>
  <si>
    <t>Demontaż tabliczek (typu T) dla znaków drogowych wraz z wywozem w miejsce wskazane przez Zamawiającego do 5 km.</t>
  </si>
  <si>
    <t>IX.II.</t>
  </si>
  <si>
    <t>IX.III.</t>
  </si>
  <si>
    <t>Podbudowa z mieszanki kruszyw związanych spoiwen hydraulicznym C1,5/2 o grubości po zagęszczeniu 10 cm. Warstwa konstrukcyjna chodników i nawierzchni z kamienia.</t>
  </si>
  <si>
    <t>Podbudowa zasadnicza z betonu cementowego C16/20 gr. 15 cm.</t>
  </si>
  <si>
    <t>IX.IV.</t>
  </si>
  <si>
    <t>Nawierzchnia zjazdu z kostki betonowej grafitowej, o gr. 8 cm, 10x20 cm, na podsypce cem.-piaskowej gr. 5 cm.</t>
  </si>
  <si>
    <t>Nawierzchnia z kostki kamiennej h=15/17 cm na podsypce cementowo-piaskowej gr. 5 cm, spoinowana zaprawą cementową na bazie kwarcu.</t>
  </si>
  <si>
    <t>IX.V.</t>
  </si>
  <si>
    <t>Ustawienie krawężników betonowych o wymiarach 15x30 cm na podsypce cementowo-piaskowej z wykonaniem ławy betonowej z oporem klasy C12/15.</t>
  </si>
  <si>
    <t>Ustawienie oporników betonowych o wymiarach 12x25 cm na podsypce cementowo-piaskowej z wykonaniem ławy betonowej z oporem klasy C12/15.</t>
  </si>
  <si>
    <t>IX.VI.</t>
  </si>
  <si>
    <t>IX.VII.</t>
  </si>
  <si>
    <t>IX.VIII.</t>
  </si>
  <si>
    <t>Zabezpiecznie sieci teletechnicznej rurą ochronną, dwudzielną fi 160.</t>
  </si>
  <si>
    <t>Przebudowa słupa energetycznego poolegająca na wyniesieniu go poza skrajnie drogową (nowy słup) wraz z robotami towarzyszącymi, instalacyjnymi oraz wykonanie fundamentu. W ramach przebudowy należy przenieść zawieszone na słupie oprawy oświetleniowe.</t>
  </si>
  <si>
    <t xml:space="preserve">kpl. </t>
  </si>
  <si>
    <t>IX.IX.</t>
  </si>
  <si>
    <r>
      <t>Przymocowanie tabliczek dla znaków drogowych o powierzchni do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</si>
  <si>
    <t>Usunięcie warstwy ziemi urodzajnej (humusu) o grubości do 15 cm wraz z oczyszczeniem części materiału do ponownego wbudowania oraz utylizacją pozostałegho urobku.</t>
  </si>
  <si>
    <t>Razem - Zadanie nr 11: Utwardzenie terenu na działce budowlanej nr 113/3 obręb m. Trzcińsko-Zdrój 2</t>
  </si>
  <si>
    <t>IX. Utwardzenie terenu przy ośrodku zdrowia, na działce budowlanej nr 64 obręb m. Trzcińsko-Zdrój 2</t>
  </si>
  <si>
    <t>Razem - Zadanie nr 9: Utwardzenie terenu przy ośrodku zdrowia, na działce budowlanej nr 64 obręb m. Trzcińsko-Zdrój 2</t>
  </si>
  <si>
    <t>X. Utwardzenie terenu na działce budowlanej nr 220/15 obręb m. Trzcińsko-Zdrój 4</t>
  </si>
  <si>
    <t>Razem - Zadanie nr 10: Utwardzenie terenu na działce budowlanej nr 220/15 obręb m. Trzcińsko-Zdrój 4</t>
  </si>
  <si>
    <t>X.I.</t>
  </si>
  <si>
    <t>X.II.</t>
  </si>
  <si>
    <t>X.III.</t>
  </si>
  <si>
    <t>X.IV.</t>
  </si>
  <si>
    <t>X.V.</t>
  </si>
  <si>
    <t>X.VI.</t>
  </si>
  <si>
    <t>X.VII.</t>
  </si>
  <si>
    <t>X.VIII.</t>
  </si>
  <si>
    <t>X.IX.</t>
  </si>
  <si>
    <r>
      <t>Pomiary geodezyjne, wytyczenie  w terenie osi głównych, pomiary geodezyjne realizacyjne, sporządzanie dokumentacji powykonawczej, inwentaryzacji, map geodezyjnych powykonawczych oraz pomiary kontrolne i sprawdzające - łącznie</t>
    </r>
    <r>
      <rPr>
        <sz val="10"/>
        <rFont val="Arial Narrow"/>
        <family val="2"/>
        <charset val="238"/>
      </rPr>
      <t xml:space="preserve"> około 900 m2.</t>
    </r>
  </si>
  <si>
    <t>Ustawienie obrzeży betonowych 8x30 cm na podsypce cem.-piaskowej gr. 5 cm</t>
  </si>
  <si>
    <t>Przebudowa słupa oświetleniowego poolegająca na wyniesieniu go poza nawierzchnię jezdni wraz z robotami towarzyszącymi, instalacyjnymi oraz wykonanie fundamentu.</t>
  </si>
  <si>
    <r>
      <t>Pomiary geodezyjne, wytyczenie  w terenie osi głównych, pomiary geodezyjne realizacyjne, sporządzanie dokumentacji powykonawczej, inwentaryzacji, map geodezyjnych powykonawczych oraz pomiary kontrolne i sprawdzające - łącznie</t>
    </r>
    <r>
      <rPr>
        <sz val="10"/>
        <rFont val="Arial Narrow"/>
        <family val="2"/>
        <charset val="238"/>
      </rPr>
      <t xml:space="preserve"> około 700 m2.</t>
    </r>
  </si>
  <si>
    <t>VI. Budowa drogi gminnej w m. Trzcińsko-Zdrój, na dz. ewid. nr 159 na długości około 300,0 m.</t>
  </si>
  <si>
    <t>Mechaniczne karczowanie zagajników gęstych.</t>
  </si>
  <si>
    <t>ha</t>
  </si>
  <si>
    <t>Usunięcie warstwy ziemi urodzajnej (humusu) o grubości do 15 cm za pomocą spycharek.</t>
  </si>
  <si>
    <t>m2</t>
  </si>
  <si>
    <t>Roboty ziemne - formowanie i zagęszczanie nasypów o wysokości do 3,0m wraz z dowozem materiału.</t>
  </si>
  <si>
    <t>Nawierzchnia z kruszywa łamanego stabilizowanego mechanicznie #0/31,5, C90/3 o grubości po zagęszczeniu 20 cm. Kruszywo należy zamiałować miałem kamiennym #0/5mm.</t>
  </si>
  <si>
    <t>Profilowanie i zagęszczanie powierzchni poboczy gruntowych o szerokości 0,75 m.</t>
  </si>
  <si>
    <t>Mechaniczne plantowanie powierzchni gruntu rodzimego wraz z humusowaniem i obsianiem mieszanką traw przy gr. warstwy humusu 10 cm.</t>
  </si>
  <si>
    <t>INNE</t>
  </si>
  <si>
    <t>Razem - Zadanie nr 6: Budowa drogi gminnej w m. Trzcińsko-Zdrój, na dz. ewid. nr 159 na długości około 300,0 m</t>
  </si>
  <si>
    <t>Rozbiórka ist. nawierzchni asfaltowej o gr. 8 cm wraz z utylizacją odpadów bądź wywozem na odkład Wykonawcy.</t>
  </si>
  <si>
    <t>Górna warstwa z kruszywa łamanego stabilizowanego mechanicznie 0/31,5 mm (C90/3), gr. 20 cm zamiałowana (zamknięta) dodatkowo miałem kamiennym #0/5 mm,</t>
  </si>
  <si>
    <t>VI.I.</t>
  </si>
  <si>
    <t>VI.II.</t>
  </si>
  <si>
    <t>VI.III.</t>
  </si>
  <si>
    <t>VI.IV.</t>
  </si>
  <si>
    <t>VI.V.</t>
  </si>
  <si>
    <t>VI.VI.</t>
  </si>
  <si>
    <t>VI.VII.</t>
  </si>
  <si>
    <t>Rozebranie istniejącej nawierzchni żużlowo-kruszywowej z domieszką gruzu o gr. śr. 20 cm wraz z wywozem pozyskanego materiału na odkład Wykonawcy i utylizacją.</t>
  </si>
  <si>
    <t>Podbudowa zasadnicza z mieszanki kruszyw stabilizowanych mechanicznie 0/31,5 C60/40, gr. 25 cm,</t>
  </si>
  <si>
    <t>Podbudowa z mieszanki kruszyw niezwiązanych, stabilizowanych mechanicznie #0/31,5, C90/3 (przekrusz z litej skały) o grubości po zagęszczeniu 15 cm. Warstwa konstrukcyjna zjazdów.</t>
  </si>
  <si>
    <t>Zabezpiecznie sieci energetycznej rurą ochronną, dwudzielną fi 160.</t>
  </si>
  <si>
    <t>Rozebranie nawierzchni z trylinki wraz z wywozem pozyskanego materiału na odkład Wykonawcy i utylizacją. Całkowita rozbiórka.</t>
  </si>
  <si>
    <t>Rozebranie istn.  obrzeży betonowych, obrzeży betonowych na podsypce cementowo-piaskowej wraz z wywozem na odkład Wykonawcy.</t>
  </si>
  <si>
    <t>Nawierzchnia z płyt betonowych typu PDTP o wymiarach 120x80x16 cm. Płyty należy układać w dwóch rzędach w odstępie 80 cm.</t>
  </si>
  <si>
    <t>I. Przebudowa drogi gminnej - ul. Spokojnej w m. Trzcińsko-Zdrój na dz. ewid. nr 207/1 , 268 
o. Czarnołęka oraz 142, 56 o. Trzcińsko-Zdrój 1</t>
  </si>
  <si>
    <t>Razem - Zadanie nr 1: Przebudowa drogi gminnej - ul. Spokojnej w m. Trzcińsko-Zdrój na dz. ewid. nr 207/1 , 268  o. Czarnołęka oraz 142, 56 o. Trzcińsko-Zdrój 1</t>
  </si>
  <si>
    <t>Nawierzchnia zjazdów z kostki betonowej grafitowej, prostokątnej 10x20 cm, o gr. 8 cm, na podsypce cem.-piaskowej gr. 5 cm.</t>
  </si>
  <si>
    <t>Nawierzchnia chodnika z kostki betonowej szarej, prostokątnej 10x20 cm, o gr. 8 cm, na podsypce cem.-piaskowej gr. 3 cm.</t>
  </si>
  <si>
    <r>
      <t>m</t>
    </r>
    <r>
      <rPr>
        <vertAlign val="superscript"/>
        <sz val="9"/>
        <color indexed="8"/>
        <rFont val="Arial Narrow"/>
        <family val="2"/>
        <charset val="238"/>
      </rPr>
      <t>2</t>
    </r>
  </si>
  <si>
    <t>Podbudowa zasadnicza z mieszanki kruszyw stabilizowanych mechanicznie 0/31,5 C60/40, gr. 25 cm. Warstwa konstrukcyjna nawierzchni z kruszywa i płyt drogowych PDTP.</t>
  </si>
  <si>
    <t>Rozbiórka nawierzchni z mieszanek mineralno - bitumcznych o grubości średnio 8 cm - nawierzchnia skrzyżowania. Destrukt bitumiczny należy wywieźć na odkład Wykonawcy i zutylizować.</t>
  </si>
  <si>
    <t>Tabliczki (typu T) dla znaków drogowych.</t>
  </si>
  <si>
    <t>Przebudowa słupa energetycznego polegająca na wyniesieniu go poza skrajnie drogową (nowy słup) wraz z robotami towarzyszącymi, instalacyjnymi oraz wykonanie fundamentu. Na ist. słupie zlokalizowane jest złącze kablowe, które również należy przebudować.</t>
  </si>
  <si>
    <t>I.I.</t>
  </si>
  <si>
    <t>I.II.</t>
  </si>
  <si>
    <t>I.III.</t>
  </si>
  <si>
    <t>I.IV.</t>
  </si>
  <si>
    <t>I.V.</t>
  </si>
  <si>
    <t>I.VI.</t>
  </si>
  <si>
    <t>I.VII.</t>
  </si>
  <si>
    <t>I.VIII.</t>
  </si>
  <si>
    <t>Inwestor:</t>
  </si>
  <si>
    <t>Gmina Trzcińsko-Zdrój
ul. Rynek 15
74-510 Trzcińsko-Zdrój</t>
  </si>
  <si>
    <t>Data wykonania:</t>
  </si>
  <si>
    <t>Klasyfikacja robót:</t>
  </si>
  <si>
    <t>45000000-7 Roboty budowlane
45233120-6 Roboty w zakresie budowy dróg
45316110-9 Instalowanie urządzeń oświetlenia drogowego</t>
  </si>
  <si>
    <t>Poziom cen:</t>
  </si>
  <si>
    <t>Zadanie:</t>
  </si>
  <si>
    <t>Dz. ewid. nr 142 - obręb Trzcińsko-Zdrój 1, 207/1 - obręb Czarnołęka</t>
  </si>
  <si>
    <t>styczeń 2022 r.</t>
  </si>
  <si>
    <t>"Przebudowa dróg gminnych w gminie Trzcińsko-Zdrój"</t>
  </si>
  <si>
    <t>I kw. 2022</t>
  </si>
  <si>
    <t>Adres:</t>
  </si>
  <si>
    <t>Dz. ewid. nr 159 o. Trzcińsko-Zdrój 4</t>
  </si>
  <si>
    <t>Dz. ewid. nr 64 o. Trzcińsko-Zdrój 2</t>
  </si>
  <si>
    <t>Dz. ewid. nr 220/15, 167, 190/1, 189, 188, 187 o. Trzcińsko-Zdrój 2</t>
  </si>
  <si>
    <t>Dz. ewid. nr 113/3, 97 o. Trzcińsko-Zdrój 4</t>
  </si>
  <si>
    <t>II. Rozbudowa drogi gminnej na dz. ewid. nr 344, 497, 547/1, 195/8, 199/6, 508/8, 210/7, o łącznej długości około 700,0 m</t>
  </si>
  <si>
    <t>Dz. ewid. nr 344, 497, 547/1, 195/8, 199/6, 508/8, 210/7 o. Strzeszów.</t>
  </si>
  <si>
    <t>Razem - Zadanie nr 2: Rozbudowa drogi gminnej na dz. ewid. nr 344, 497, 547/1, 195/8, 199/6, 508/8, 210/7, o łącznej długości około 700,0 m</t>
  </si>
  <si>
    <t>Wycinka drzewa wraz z usunięciem karczy średnicy 26-35 cm, z zasypaniem dołów oraz wywózką karpin i dłużyc. Pozostałości po karczowaniu należy zutylizować. Drewno stanowi własność Inwestora. Wywóz do 5,0 km.</t>
  </si>
  <si>
    <t>Wycinka drzewa wraz z usunięciem karczy średnicy 36-45 cm, z zasypaniem dołów oraz wywózką karpin i dłużyc. Pozostałości po karczowaniu należy zutylizować. Drewno stanowi własność Inwestora. Wywóz do 5,0 km.</t>
  </si>
  <si>
    <t>Regulacja wszelkich urządzeń infrastruktury towarzyszącej zlokalizowanych w zaprojektowanych nawierzchniach wraz z obróbką kostką kamienną.</t>
  </si>
  <si>
    <t>szt</t>
  </si>
  <si>
    <t>II.I.</t>
  </si>
  <si>
    <t>II.II.</t>
  </si>
  <si>
    <t>II.III.</t>
  </si>
  <si>
    <t>II.IV.</t>
  </si>
  <si>
    <t>II.V.</t>
  </si>
  <si>
    <t>II.VI.</t>
  </si>
  <si>
    <t>II.VII.</t>
  </si>
  <si>
    <t>Wycinka drzewa wraz z usunięciem karczy średnicy powyżej 65 cm, z zasypaniem dołów oraz wywózką karpin i dłużyc. Pozostałości po karczowaniu należy zutylizować. Drewno stanowi własność Inwestora. Wywóz do 5,0 km.</t>
  </si>
  <si>
    <t>Usunięcie warstwy ziemi urodzajnej (humusu) o grubości do 25 cm za pomocą spycharek.</t>
  </si>
  <si>
    <t>Montaż słupków blokujących U-12c.</t>
  </si>
  <si>
    <t>Przebudowa odcinka sieci eN na długości około 105 mb poprzez jej zdemontowanie i ułożenie po zaprojektowanym, nowym śladzie wraz z montażem złączy przelotowych.</t>
  </si>
  <si>
    <t>Regulacja wszelkich urządzeń infrastruktury towarzyszącej zlokalizowanych w zaprojektowanych nawierzchniach (w tym studni kanalizacji sanitarnej, która jest planowana) wraz z obróbką kostką kamienną.</t>
  </si>
  <si>
    <t>II.VIII.</t>
  </si>
  <si>
    <t>III. Budowa drogi gminnej na dz. ewid. nr 336 o. Strzeszów, na długości około 550,0 m.</t>
  </si>
  <si>
    <t>Dz. ewid. nr 336, 337/1 o. Strzeszów.</t>
  </si>
  <si>
    <t>Razem - Zadanie nr 3: Budowa drogi gminnej na dz. ewid. nr 336 o. Strzeszów, na długości około 550,0 m.</t>
  </si>
  <si>
    <t>IV. Budowa drogi gminnej w m. Strzeszów, gmina Trzcińsko-Zdrój na dz. ewid. nr 345, na długości około 150,0 m</t>
  </si>
  <si>
    <t>Dz. ewid. nr 345, 337/2, 169/11, 170/2 o. Strzeszów.</t>
  </si>
  <si>
    <t>Rozbiórka ist. nawierzchni gruntowej o gr. 15 cm wraz z wywozem urobku  na odkład Wykonawcy.</t>
  </si>
  <si>
    <t>Razem - Zadanie nr 4: Budowa drogi gminnej w m. Strzeszów, gmina Trzcińsko-Zdrój na dz. ewid. nr 345, na długości około 150,0 m</t>
  </si>
  <si>
    <t>V. Budowa dróg gminnych wraz z parkingiem w m. Strzeszów, na dz. ewid. nr 262/6, 347, 512/2 o łącznej długości około 650,0 m</t>
  </si>
  <si>
    <t>Dz. ewid. nr 262/6, 347, 512/2, 534, 360, 346 o. Strzeszów.</t>
  </si>
  <si>
    <t>Razem - Zadanie nr 5: Budowa dróg gminnych wraz z parkingiem w m. Strzeszów, na dz. ewid. nr 262/6, 347, 512/2 o łącznej długości około 650,0 m</t>
  </si>
  <si>
    <t>VII. Remont ist. drogi w m. Strzeszów, gmina Trzcińsko-Zdrój, na dz. ewid. nr 343, na długości około 900,00 m</t>
  </si>
  <si>
    <t>Dz. ewid. nr 343, 337/2, 341, 56, 335 o. Strzeszów.</t>
  </si>
  <si>
    <t>VIII. Remont ist. drogi w m. Strzeszów, gmina Trzcińsko-Zdrój na dz. ewid. nr 217/11 na długości około 600,0 m – osiedle Zacisze</t>
  </si>
  <si>
    <t>Dz. ewid. nr 217/11, 337/1 o. Strzeszów.</t>
  </si>
  <si>
    <t>Razem - Zadanie nr 8: Remont ist. drogi w m. Strzeszów, gmina Trzcińsko-Zdrój na dz. ewid. nr 217/11 na długości około 600,0 m – osiedle Zacisze</t>
  </si>
  <si>
    <t>VIII.VII.</t>
  </si>
  <si>
    <t>VIII.VI.</t>
  </si>
  <si>
    <t>VIII.IV.</t>
  </si>
  <si>
    <t>VIII.II.</t>
  </si>
  <si>
    <t>VIII.I.</t>
  </si>
  <si>
    <t>VII.VII.</t>
  </si>
  <si>
    <t>VII.VI.</t>
  </si>
  <si>
    <t>VII.V.</t>
  </si>
  <si>
    <t>VII.II.</t>
  </si>
  <si>
    <t>VII.I.</t>
  </si>
  <si>
    <t>V.VI.</t>
  </si>
  <si>
    <t>V.V.</t>
  </si>
  <si>
    <t>V.IV.</t>
  </si>
  <si>
    <t>V.III.</t>
  </si>
  <si>
    <t>V.II.</t>
  </si>
  <si>
    <t>V.I.</t>
  </si>
  <si>
    <t>IV.VI.</t>
  </si>
  <si>
    <t>IV.V.</t>
  </si>
  <si>
    <t>IV.IV.</t>
  </si>
  <si>
    <t>IV.III.</t>
  </si>
  <si>
    <t>IV.II.</t>
  </si>
  <si>
    <t>IV.I.</t>
  </si>
  <si>
    <t>III.VII.</t>
  </si>
  <si>
    <t>III.VI.</t>
  </si>
  <si>
    <t>III.V.</t>
  </si>
  <si>
    <t>III.IV.</t>
  </si>
  <si>
    <t>III.III.</t>
  </si>
  <si>
    <t>III.I.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</si>
  <si>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</si>
  <si>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</si>
  <si>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</si>
  <si>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</si>
  <si>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</si>
  <si>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</si>
  <si>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</si>
  <si>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</si>
  <si>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</si>
  <si>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</si>
  <si>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</si>
  <si>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</si>
  <si>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</si>
  <si>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1.14.</t>
  </si>
  <si>
    <t>1.15.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</si>
  <si>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</si>
  <si>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</si>
  <si>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</si>
  <si>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</si>
  <si>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</si>
  <si>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</si>
  <si>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</si>
  <si>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</si>
  <si>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</si>
  <si>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</si>
  <si>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</si>
  <si>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</si>
  <si>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</si>
  <si>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</si>
  <si>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</si>
  <si>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</si>
  <si>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</si>
  <si>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</si>
  <si>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</si>
  <si>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</si>
  <si>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</si>
  <si>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</si>
  <si>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</si>
  <si>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</si>
  <si>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</si>
  <si>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</si>
  <si>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</si>
  <si>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</si>
  <si>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</si>
  <si>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</si>
  <si>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</si>
  <si>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</si>
  <si>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</si>
  <si>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</si>
  <si>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</si>
  <si>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</si>
  <si>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</si>
  <si>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</si>
  <si>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</si>
  <si>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</si>
  <si>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</si>
  <si>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</si>
  <si>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</si>
  <si>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</si>
  <si>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</si>
  <si>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</si>
  <si>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</si>
  <si>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</si>
  <si>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</si>
  <si>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</si>
  <si>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3.1</t>
  </si>
  <si>
    <t>3.2</t>
  </si>
  <si>
    <t>3.3</t>
  </si>
  <si>
    <t>3.4</t>
  </si>
  <si>
    <t>3.5</t>
  </si>
  <si>
    <t>3.6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</si>
  <si>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</si>
  <si>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</si>
  <si>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</si>
  <si>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</si>
  <si>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</si>
  <si>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</si>
  <si>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</si>
  <si>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</si>
  <si>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</si>
  <si>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</si>
  <si>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</si>
  <si>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</si>
  <si>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</si>
  <si>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</si>
  <si>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</si>
  <si>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</si>
  <si>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</si>
  <si>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</si>
  <si>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</si>
  <si>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</si>
  <si>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</si>
  <si>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</si>
  <si>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</si>
  <si>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</si>
  <si>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</si>
  <si>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</si>
  <si>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</si>
  <si>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</si>
  <si>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</si>
  <si>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</si>
  <si>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</si>
  <si>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</si>
  <si>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</si>
  <si>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</si>
  <si>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</si>
  <si>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</si>
  <si>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</si>
  <si>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</si>
  <si>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</si>
  <si>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</si>
  <si>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</si>
  <si>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</si>
  <si>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</si>
  <si>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</si>
  <si>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</si>
  <si>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</si>
  <si>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</si>
  <si>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</si>
  <si>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</si>
  <si>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</si>
  <si>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</si>
  <si>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</si>
  <si>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</si>
  <si>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</si>
  <si>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</si>
  <si>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</si>
  <si>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</si>
  <si>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</si>
  <si>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</si>
  <si>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</si>
  <si>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</si>
  <si>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</si>
  <si>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</si>
  <si>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</si>
  <si>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</si>
  <si>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</si>
  <si>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</si>
  <si>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</si>
  <si>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</si>
  <si>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</si>
  <si>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</si>
  <si>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</si>
  <si>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</si>
  <si>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</si>
  <si>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</si>
  <si>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</si>
  <si>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</si>
  <si>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</si>
  <si>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</si>
  <si>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</si>
  <si>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</si>
  <si>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</si>
  <si>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</si>
  <si>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</si>
  <si>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</si>
  <si>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11.1</t>
  </si>
  <si>
    <t>11.2</t>
  </si>
  <si>
    <t>11.3</t>
  </si>
  <si>
    <t>11.4</t>
  </si>
  <si>
    <t>11.5</t>
  </si>
  <si>
    <t>11.6</t>
  </si>
  <si>
    <t>11.7</t>
  </si>
  <si>
    <t>11.18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</si>
  <si>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</si>
  <si>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</si>
  <si>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</si>
  <si>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</si>
  <si>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</si>
  <si>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</si>
  <si>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</si>
  <si>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</si>
  <si>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</si>
  <si>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</si>
  <si>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</si>
  <si>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</si>
  <si>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</si>
  <si>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</si>
  <si>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</si>
  <si>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</si>
  <si>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</si>
  <si>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</si>
  <si>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</si>
  <si>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</si>
  <si>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</si>
  <si>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Nawierzchnia z kostki betonowej grafitowej, prostokątnej 10x20 cm, o gr. 8 cm, na podsypce cem.-piaskowej gr. 5 cm.</t>
  </si>
  <si>
    <t>Nawierzchnia z kruszywa łamanego stabilizowanego mechanicznie #0/31,5, C90/3 o grubości po zagęszczeniu 10 cm. Kruszywo należy zamiałować miałem kamiennym #0/5mm. Konstrukcja zjazdów z kruszywa.</t>
  </si>
  <si>
    <t>Nawierzchnia z kruszywa łamanego stabilizowanego mechanicznie #0/31,5, C90/3 o grubości po zagęszczeniu 20 cm. Kruszywo należy zamiałować miałem kamiennym #0/5mm. Konstrukcja jezdni z kruszywa.</t>
  </si>
  <si>
    <t>III.II.</t>
  </si>
  <si>
    <t>Podbudowa zasadnicza z mieszanki kruszyw stabilizowanych mechanicznie 0/31,5 C60/40, gr. 15 cm. Warstwa konstrukcyjna zjazdów z kruszywa.</t>
  </si>
  <si>
    <t>Podbudowa zasadnicza z mieszanki kruszyw stabilizowanych mechanicznie 0/31,5 C60/40, gr. 25 cm. Warstwa konstrukcyjna nawierzchni z kruszywa.</t>
  </si>
  <si>
    <t>Rozbiórka ist. nawierzchni  z kruszywa o gr. 20 cm wraz z wywozem na odkład Wykonawcy. Dopuszcza się częściowe wykorzystanie ist. kruszywa.</t>
  </si>
  <si>
    <t>Profilacja ist. rowu odwadniającego.</t>
  </si>
  <si>
    <t>Zabezpiecznie ist. sieci energetycznej i teletechnicznej rurą ochronną, dwudzielną fi 160.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</si>
  <si>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</si>
  <si>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</si>
  <si>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</si>
  <si>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</si>
  <si>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</si>
  <si>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</si>
  <si>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</si>
  <si>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</si>
  <si>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</si>
  <si>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</si>
  <si>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</si>
  <si>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</si>
  <si>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</si>
  <si>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</si>
  <si>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</si>
  <si>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</si>
  <si>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</si>
  <si>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</si>
  <si>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Usunięcie warstwy ziemi urodzajnej (humusu) o grubości do 40 cm za pomocą spycharek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</si>
  <si>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</si>
  <si>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</si>
  <si>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</si>
  <si>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</si>
  <si>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</si>
  <si>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</si>
  <si>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</si>
  <si>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</si>
  <si>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</si>
  <si>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</si>
  <si>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</si>
  <si>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</si>
  <si>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</si>
  <si>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</si>
  <si>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</si>
  <si>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Profilowanie rowów przydrożnych o podstawie 0,4 m i głębokości min. 0,5 m. Pochylenie skarp 1:1,5.</t>
  </si>
  <si>
    <t>Wykonanie przepustów pod zjazdami z rur PVC 300 mm o długości 5,0 m, wraz z wykonaniem podsypki, obsypki i zasypki, fundamentu kruszywowego o gr. 20 cm i umocnieniem wlotów i wylotów kamieniem narzutowym na powierzchni min. 2 m2 po każdej ze stron.</t>
  </si>
  <si>
    <t>Rozbiórka ist. nawierzchni  z kruszywa o gr. 20 cm wraz z wywozem gruzu budowlanego na odkład Wykonawcy.</t>
  </si>
  <si>
    <t>Usunięcie warstwy ziemi urodzajnej (humusu) o grubości do 25 cm za pomocą spycharek</t>
  </si>
  <si>
    <t>7.1</t>
  </si>
  <si>
    <t>7.2</t>
  </si>
  <si>
    <t>7.3</t>
  </si>
  <si>
    <t>7.4</t>
  </si>
  <si>
    <t>7.5</t>
  </si>
  <si>
    <t>7.6</t>
  </si>
  <si>
    <t>7.7</t>
  </si>
  <si>
    <t>VII.III.</t>
  </si>
  <si>
    <t>VII.IV</t>
  </si>
  <si>
    <t>VII.VIII.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</si>
  <si>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</si>
  <si>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</si>
  <si>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</si>
  <si>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</si>
  <si>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</si>
  <si>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</si>
  <si>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</si>
  <si>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</si>
  <si>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</si>
  <si>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</si>
  <si>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</si>
  <si>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</si>
  <si>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</si>
  <si>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</si>
  <si>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</si>
  <si>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</si>
  <si>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</si>
  <si>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</si>
  <si>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</si>
  <si>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</si>
  <si>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</si>
  <si>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</si>
  <si>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</si>
  <si>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</si>
  <si>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</si>
  <si>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</si>
  <si>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</si>
  <si>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</si>
  <si>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</si>
  <si>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</si>
  <si>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</si>
  <si>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</si>
  <si>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</si>
  <si>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VIII.III.</t>
  </si>
  <si>
    <t>VIII.V.</t>
  </si>
  <si>
    <t>VIII.VIII.</t>
  </si>
  <si>
    <t>Usunięcie warstwy ziemi urodzajnej (humusu/gleby) o grubości do 30 cm za pomocą spycharek.</t>
  </si>
  <si>
    <t>Roboty ziemne - formowanie i zagęszczanie nasypów o wysokości do 3,0m wraz z dowozem materiału - wymiana gruntu w strefie przyjeziornej.</t>
  </si>
  <si>
    <t>Regulacja wszelkich urządzeń infrastruktury towarzyszącej zlokalizowanych w zaprojektowanych nawierzchniach - wraz z obudową urządzeń kostką kamienną.</t>
  </si>
  <si>
    <t>2.26</t>
  </si>
  <si>
    <t>Przebudowa ist. wylotów kanalizacji deszczowej wraz ze wszelkimi pracami towarzyszącymi.</t>
  </si>
  <si>
    <t>Rozebranie istniejącej nawierzchni żużlowo-kruszywowej z domieszką gruzu o gr. śr. 40 cm wraz z wywozem pozyskanego materiału na odkład Wykonawcy i utylizacją. Nawierzchnia z możliwością późniejszego wykorzystania.</t>
  </si>
  <si>
    <t>Rozbiórka ist. nawierzchni z płyt betonowych o gr. 15 cm wraz z wywozem materiału w miejsce wskazane przez Zamawiającego.</t>
  </si>
  <si>
    <t>Nr zadania:</t>
  </si>
  <si>
    <t>Nazawa zadania: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</si>
  <si>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</si>
  <si>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</si>
  <si>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</si>
  <si>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</si>
  <si>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</si>
  <si>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</si>
  <si>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</si>
  <si>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</si>
  <si>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</si>
  <si>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</si>
  <si>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</si>
  <si>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Asortyment robót:</t>
  </si>
  <si>
    <t>Wartość [netto]</t>
  </si>
  <si>
    <t>Wartość [brutto]</t>
  </si>
  <si>
    <t>I. Przebudowa drogi gminnej - ul. Spokojnej w m. Trzcińsko-Zdrój na dz. ewid. nr 207/1 , 268  o. Czarnołęka oraz 142, 56 o. Trzcińsko-Zdrój 1</t>
  </si>
  <si>
    <t>Roboty budowlane:</t>
  </si>
  <si>
    <t>Prace projektowe:</t>
  </si>
  <si>
    <t>Prace budowlane łącznie [brutto]:</t>
  </si>
  <si>
    <t>Prace projektowe łącznie [brutto]:</t>
  </si>
  <si>
    <t>Razem: [brutto]:</t>
  </si>
  <si>
    <t>Nadzór autorski łącznie [brutto]:</t>
  </si>
  <si>
    <r>
      <t>Przymocowanie tablic znaków drogowych zakazu, nakazu, ostrzegawczych, inf. o powierzchni do 0,3m</t>
    </r>
    <r>
      <rPr>
        <vertAlign val="superscript"/>
        <sz val="9"/>
        <color indexed="8"/>
        <rFont val="Arial Narrow"/>
        <family val="2"/>
        <charset val="238"/>
      </rPr>
      <t>2</t>
    </r>
    <r>
      <rPr>
        <sz val="9"/>
        <color indexed="8"/>
        <rFont val="Arial Narrow"/>
        <family val="2"/>
        <charset val="238"/>
      </rPr>
      <t>.</t>
    </r>
  </si>
  <si>
    <t>Razem - Zadanie nr 7: Remont ist. drogi w m. Strzeszów, gmina Trzcińsko-Zdrój, na dz. ewid. nr 343,
 na długości około 900,00 m</t>
  </si>
  <si>
    <t>Nawierzchnia jezdni z kostki betonowej pełnej 10x20 cm, na podsypce cem.-piaskowej gr. 5 cm.</t>
  </si>
  <si>
    <t>Nawierzchnia miejsc parkingowych z kostki betonowej pełnej, 10x20 cm, o kolorystyce ustalonej z Inwestorem, o gr. 8 cm, na podsypce piaskowej gr. 5 cm. Miejsca postojowe należy wydzielić kostką białą lub o odmiennej kolorystyce.</t>
  </si>
  <si>
    <t>Nawierzchnia zjazdów z kostki betonowej szarej, dwuteowej, o gr. 8 cm, na podsypce cem.-piaskowej gr. 5 cm.</t>
  </si>
  <si>
    <t>Podbudowa z mieszanki kruszyw niezwiązanych, stabilizowanych mechanicznie #0/31,5, C90/3 (przekrusz z litej skały) o grubości po zagęszczeniu 20 cm. Warstwa konstrukcyjna nawierzchni jezdni bitumicznej.</t>
  </si>
  <si>
    <t>Podbudowa z mieszanki kruszyw niezwiązanych, stabilizowanych mechanicznie #0/31,5, C90/3 (przekrusz z litej skały) o grubości po zagęszczeniu 15 cm. Warstwa konstrukcyjna nawierzchni zjazdów i parkingów.</t>
  </si>
  <si>
    <t>Podbudowa z mieszanki kruszyw związanych spoiwen hydraulicznym C3/4 o grubości po zagęszczeniu 15 cm. Warstwa konstrukcyjna nawierzchni jezdni.</t>
  </si>
  <si>
    <t>5.1</t>
  </si>
  <si>
    <t>5.2</t>
  </si>
  <si>
    <t>Wykonanie drewnianego ogrodzenia parkingu o wys. 110 cm z impregnowanych słupków o przekroju min. 10x10 cm, w rozstawie co 2,0 m z dwoma poprzecznymi deskami o przekroju 3x15 cm.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</si>
  <si>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</si>
  <si>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</si>
  <si>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</si>
  <si>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</si>
  <si>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</si>
  <si>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</si>
  <si>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</si>
  <si>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</si>
  <si>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</si>
  <si>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</si>
  <si>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</si>
  <si>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</si>
  <si>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</si>
  <si>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</si>
  <si>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</si>
  <si>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</si>
  <si>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</si>
  <si>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8.21</t>
  </si>
  <si>
    <t>8.22</t>
  </si>
  <si>
    <t>Podbudowa z mieszanki kruszyw związanych spoiwen hydraulicznym C1,5/2 o grubości po zagęszczeniu 15 cm. Warstwa konstrukcyjna utwardzenia działki budowlanej</t>
  </si>
  <si>
    <t>Podbudowa z mieszanki kruszyw niezwiązanych, stabilizowanych mechanicznie #0/31,5, C90/3 (przekrusz z litej skały) o grubości po zagęszczeniu 15 cm. Warstwa konstrukcyjna utwardzenia działki budowlanej i zjazdu.</t>
  </si>
  <si>
    <t>9.37</t>
  </si>
  <si>
    <t>Wykonanie kolektora kanalizacji deszczowej o średnicy DN300 wraz z wykonaniem podsypki, obskypki i zasypki, wszelkimi pracami towarzyszącymi, ziemnymi i odwodnieniowymi.</t>
  </si>
  <si>
    <t>9.38</t>
  </si>
  <si>
    <t>Wykonanie studni DN1000 na istniejącym/projektowanym kolektorze kanalizacji deszczowej DN300 wraz z przyłączeniem zaprojektowanych przyłączy kanalizacji deszczowej. W cenę należy wliczyć wykonanie fundamentu kruszywowego, podsypki, obsypki i zasypki oraz wszelkie prace towarzyszące, ziemne i instalacyjne.</t>
  </si>
  <si>
    <t>Podbudowa z mieszanki kruszyw związanych spoiwen hydraulicznym C1,5/2 o grubości po zagęszczeniu 15 cm. Warstwa konstrukcyjna utwardzenia działki budowlanej i zjazdów z kostki pełnej.</t>
  </si>
  <si>
    <t>Nawierzchnia utwardzenia działki budowlanej z kostki betonowej pełnej, 10x20 cm, o kolorystyce ustalonej z Inwestorem, o gr. 8 cm, na podsypce piaskowej gr. 5 cm.</t>
  </si>
  <si>
    <t>Nawierzchnia utwardzenia działki budowlanej z kostki betonowej pełnej, 10x20 cm, o kolorystyce ustalonej z Inwestorem, o gr. 8 cm, na podsypce piaskowej gr. 5 cm. Miejsca postojowe należy wydzielić kostką białą lub o odmiennej kolorystyce.</t>
  </si>
  <si>
    <t>10.30</t>
  </si>
  <si>
    <t>Wykonanie zaniżonego ścieku z dwóch rzedów kostki betonowej 10x20 cm, na podsypce cem.-piaskowej gr. 5 cm.</t>
  </si>
  <si>
    <t>11.30</t>
  </si>
  <si>
    <r>
      <t>Przymocowanie tablic znaków drogowych zakazu, nakazu, ostrzegawczych o powierzchni do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</si>
  <si>
    <t>PRZEDMIAR ROBÓT
DLA PRAC PROJEKTOWYCH I BUDOWLANYCH NA POTRZEBY PFU</t>
  </si>
  <si>
    <t>PRZEDMIAR ROBÓT
DLA PRAC PROJEKTOWYCH I BUDOWLANYCH NA POTRZEBY PFU
ZESTAWIENIE ZADAŃ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</si>
</sst>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&quot;zł&quot;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i/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i/>
      <sz val="9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1.5"/>
      <color rgb="FF00000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57D3FF"/>
        <bgColor rgb="FFCC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0"/>
        <bgColor rgb="FFA6A6A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</cellStyleXfs>
  <cellXfs count="25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7" borderId="2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2" fontId="5" fillId="7" borderId="2" xfId="0" applyNumberFormat="1" applyFont="1" applyFill="1" applyBorder="1" applyAlignment="1">
      <alignment horizontal="left" vertical="center" wrapText="1"/>
    </xf>
    <xf numFmtId="44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44" fontId="6" fillId="7" borderId="2" xfId="0" applyNumberFormat="1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4" fontId="5" fillId="3" borderId="5" xfId="0" applyNumberFormat="1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left" vertical="center" wrapText="1"/>
    </xf>
    <xf numFmtId="2" fontId="17" fillId="7" borderId="2" xfId="0" applyNumberFormat="1" applyFont="1" applyFill="1" applyBorder="1" applyAlignment="1">
      <alignment horizontal="left" vertical="center" wrapText="1"/>
    </xf>
    <xf numFmtId="44" fontId="16" fillId="7" borderId="2" xfId="0" applyNumberFormat="1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center" vertical="center" wrapText="1"/>
    </xf>
    <xf numFmtId="2" fontId="17" fillId="7" borderId="2" xfId="0" applyNumberFormat="1" applyFont="1" applyFill="1" applyBorder="1" applyAlignment="1">
      <alignment horizontal="center" vertical="center" wrapText="1"/>
    </xf>
    <xf numFmtId="44" fontId="18" fillId="7" borderId="2" xfId="0" applyNumberFormat="1" applyFont="1" applyFill="1" applyBorder="1" applyAlignment="1">
      <alignment horizontal="left" vertical="center" wrapText="1"/>
    </xf>
    <xf numFmtId="44" fontId="5" fillId="7" borderId="2" xfId="0" applyNumberFormat="1" applyFont="1" applyFill="1" applyBorder="1" applyAlignment="1">
      <alignment horizontal="left" vertical="center" wrapText="1"/>
    </xf>
    <xf numFmtId="44" fontId="6" fillId="7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6" fillId="3" borderId="2" xfId="4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2" xfId="4" applyFont="1" applyBorder="1" applyAlignment="1">
      <alignment horizontal="left" vertical="center" wrapText="1"/>
    </xf>
    <xf numFmtId="2" fontId="16" fillId="7" borderId="2" xfId="0" applyNumberFormat="1" applyFont="1" applyFill="1" applyBorder="1" applyAlignment="1">
      <alignment horizontal="left" vertical="center" wrapText="1"/>
    </xf>
    <xf numFmtId="44" fontId="23" fillId="7" borderId="2" xfId="0" applyNumberFormat="1" applyFont="1" applyFill="1" applyBorder="1" applyAlignment="1">
      <alignment horizontal="left" vertical="center" wrapText="1"/>
    </xf>
    <xf numFmtId="44" fontId="21" fillId="7" borderId="2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44" fontId="9" fillId="0" borderId="5" xfId="2" applyFont="1" applyFill="1" applyBorder="1" applyAlignment="1">
      <alignment horizontal="right" vertical="center"/>
    </xf>
    <xf numFmtId="0" fontId="16" fillId="7" borderId="5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center" vertical="center" wrapText="1"/>
    </xf>
    <xf numFmtId="2" fontId="3" fillId="6" borderId="20" xfId="0" applyNumberFormat="1" applyFont="1" applyFill="1" applyBorder="1" applyAlignment="1">
      <alignment horizontal="center" vertical="center" wrapText="1"/>
    </xf>
    <xf numFmtId="44" fontId="3" fillId="6" borderId="20" xfId="0" applyNumberFormat="1" applyFont="1" applyFill="1" applyBorder="1" applyAlignment="1">
      <alignment horizontal="center" vertical="center" wrapText="1"/>
    </xf>
    <xf numFmtId="44" fontId="3" fillId="6" borderId="21" xfId="0" applyNumberFormat="1" applyFont="1" applyFill="1" applyBorder="1" applyAlignment="1">
      <alignment horizontal="center" vertical="center" wrapText="1"/>
    </xf>
    <xf numFmtId="44" fontId="16" fillId="7" borderId="5" xfId="0" applyNumberFormat="1" applyFont="1" applyFill="1" applyBorder="1" applyAlignment="1">
      <alignment horizontal="center" vertical="center" wrapText="1"/>
    </xf>
    <xf numFmtId="44" fontId="9" fillId="0" borderId="5" xfId="2" applyFont="1" applyFill="1" applyBorder="1" applyAlignment="1">
      <alignment horizontal="center" vertical="center"/>
    </xf>
    <xf numFmtId="44" fontId="21" fillId="7" borderId="5" xfId="0" applyNumberFormat="1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4" fontId="3" fillId="6" borderId="20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4" fontId="3" fillId="6" borderId="21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4" fontId="3" fillId="6" borderId="42" xfId="0" applyNumberFormat="1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4" fontId="3" fillId="6" borderId="36" xfId="0" applyNumberFormat="1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center" vertical="center" wrapText="1"/>
    </xf>
    <xf numFmtId="4" fontId="3" fillId="6" borderId="44" xfId="0" applyNumberFormat="1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4" fontId="3" fillId="6" borderId="45" xfId="0" applyNumberFormat="1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 wrapText="1"/>
    </xf>
    <xf numFmtId="4" fontId="3" fillId="6" borderId="46" xfId="0" applyNumberFormat="1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4" fontId="3" fillId="6" borderId="47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44" fontId="15" fillId="8" borderId="36" xfId="2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 wrapText="1"/>
    </xf>
    <xf numFmtId="2" fontId="19" fillId="6" borderId="1" xfId="0" applyNumberFormat="1" applyFont="1" applyFill="1" applyBorder="1" applyAlignment="1">
      <alignment horizontal="center" vertical="center" wrapText="1"/>
    </xf>
    <xf numFmtId="44" fontId="15" fillId="8" borderId="38" xfId="2" applyFont="1" applyFill="1" applyBorder="1" applyAlignment="1">
      <alignment horizontal="center" vertical="center"/>
    </xf>
    <xf numFmtId="44" fontId="15" fillId="8" borderId="32" xfId="2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0" fontId="16" fillId="7" borderId="40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16" fillId="7" borderId="20" xfId="0" applyFont="1" applyFill="1" applyBorder="1" applyAlignment="1">
      <alignment horizontal="left" vertical="center" wrapText="1"/>
    </xf>
    <xf numFmtId="0" fontId="16" fillId="7" borderId="21" xfId="0" applyFont="1" applyFill="1" applyBorder="1" applyAlignment="1">
      <alignment horizontal="left" vertical="center" wrapText="1"/>
    </xf>
    <xf numFmtId="49" fontId="0" fillId="0" borderId="0" xfId="0" applyNumberFormat="1"/>
    <xf numFmtId="49" fontId="16" fillId="0" borderId="14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28" fillId="4" borderId="22" xfId="0" applyNumberFormat="1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 wrapText="1"/>
    </xf>
    <xf numFmtId="49" fontId="3" fillId="7" borderId="29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28" fillId="4" borderId="26" xfId="0" applyNumberFormat="1" applyFont="1" applyFill="1" applyBorder="1" applyAlignment="1">
      <alignment horizontal="center" vertical="center" wrapText="1"/>
    </xf>
    <xf numFmtId="49" fontId="14" fillId="7" borderId="29" xfId="0" applyNumberFormat="1" applyFont="1" applyFill="1" applyBorder="1" applyAlignment="1">
      <alignment horizontal="center" vertical="center" wrapText="1"/>
    </xf>
    <xf numFmtId="49" fontId="3" fillId="5" borderId="41" xfId="0" applyNumberFormat="1" applyFont="1" applyFill="1" applyBorder="1" applyAlignment="1">
      <alignment horizontal="center" vertical="center" wrapText="1"/>
    </xf>
    <xf numFmtId="49" fontId="3" fillId="7" borderId="3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3" fillId="5" borderId="4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16" fillId="4" borderId="22" xfId="0" applyNumberFormat="1" applyFont="1" applyFill="1" applyBorder="1" applyAlignment="1">
      <alignment horizontal="center"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49" fontId="3" fillId="7" borderId="1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44" fontId="9" fillId="0" borderId="49" xfId="2" applyFont="1" applyFill="1" applyBorder="1" applyAlignment="1">
      <alignment horizontal="right" vertical="center"/>
    </xf>
    <xf numFmtId="2" fontId="6" fillId="0" borderId="7" xfId="0" applyNumberFormat="1" applyFont="1" applyBorder="1" applyAlignment="1">
      <alignment horizontal="center" vertical="center" wrapText="1"/>
    </xf>
    <xf numFmtId="44" fontId="18" fillId="7" borderId="5" xfId="0" applyNumberFormat="1" applyFont="1" applyFill="1" applyBorder="1" applyAlignment="1">
      <alignment horizontal="center" vertical="center" wrapText="1"/>
    </xf>
    <xf numFmtId="44" fontId="26" fillId="0" borderId="5" xfId="2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 wrapText="1"/>
    </xf>
    <xf numFmtId="44" fontId="5" fillId="7" borderId="5" xfId="0" applyNumberFormat="1" applyFont="1" applyFill="1" applyBorder="1" applyAlignment="1">
      <alignment horizontal="center" vertical="center" wrapText="1"/>
    </xf>
    <xf numFmtId="165" fontId="12" fillId="3" borderId="50" xfId="2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4" fontId="30" fillId="0" borderId="20" xfId="0" applyNumberFormat="1" applyFont="1" applyBorder="1" applyAlignment="1">
      <alignment horizontal="center" vertical="center"/>
    </xf>
    <xf numFmtId="44" fontId="30" fillId="0" borderId="2" xfId="0" applyNumberFormat="1" applyFont="1" applyBorder="1" applyAlignment="1">
      <alignment horizontal="center" vertical="center"/>
    </xf>
    <xf numFmtId="44" fontId="30" fillId="0" borderId="21" xfId="1" applyFont="1" applyBorder="1" applyAlignment="1">
      <alignment horizontal="center" vertical="center"/>
    </xf>
    <xf numFmtId="44" fontId="30" fillId="0" borderId="2" xfId="1" applyFont="1" applyBorder="1" applyAlignment="1">
      <alignment horizontal="center" vertical="center"/>
    </xf>
    <xf numFmtId="44" fontId="30" fillId="0" borderId="5" xfId="1" applyFont="1" applyBorder="1" applyAlignment="1">
      <alignment horizontal="center" vertical="center"/>
    </xf>
    <xf numFmtId="0" fontId="34" fillId="0" borderId="2" xfId="0" applyFont="1" applyBorder="1" applyAlignment="1">
      <alignment horizontal="left" vertical="center" wrapText="1"/>
    </xf>
    <xf numFmtId="49" fontId="3" fillId="5" borderId="39" xfId="0" applyNumberFormat="1" applyFont="1" applyFill="1" applyBorder="1" applyAlignment="1">
      <alignment horizontal="center" vertical="center" wrapText="1"/>
    </xf>
    <xf numFmtId="44" fontId="3" fillId="6" borderId="40" xfId="0" applyNumberFormat="1" applyFont="1" applyFill="1" applyBorder="1" applyAlignment="1">
      <alignment horizontal="center" vertical="center" wrapText="1"/>
    </xf>
    <xf numFmtId="49" fontId="5" fillId="3" borderId="29" xfId="0" applyNumberFormat="1" applyFont="1" applyFill="1" applyBorder="1" applyAlignment="1">
      <alignment horizontal="center" vertical="center" wrapText="1"/>
    </xf>
    <xf numFmtId="44" fontId="5" fillId="3" borderId="5" xfId="0" applyNumberFormat="1" applyFont="1" applyFill="1" applyBorder="1" applyAlignment="1">
      <alignment horizontal="right" vertical="center"/>
    </xf>
    <xf numFmtId="0" fontId="0" fillId="3" borderId="0" xfId="0" applyFill="1" applyAlignment="1">
      <alignment wrapText="1"/>
    </xf>
    <xf numFmtId="49" fontId="16" fillId="0" borderId="14" xfId="0" applyNumberFormat="1" applyFont="1" applyBorder="1" applyAlignment="1">
      <alignment horizontal="center" vertical="center"/>
    </xf>
    <xf numFmtId="165" fontId="12" fillId="3" borderId="55" xfId="2" applyNumberFormat="1" applyFont="1" applyFill="1" applyBorder="1" applyAlignment="1">
      <alignment horizontal="center" vertical="center"/>
    </xf>
    <xf numFmtId="44" fontId="9" fillId="0" borderId="0" xfId="2" applyFont="1" applyFill="1" applyBorder="1" applyAlignment="1">
      <alignment horizontal="center" vertical="center"/>
    </xf>
    <xf numFmtId="44" fontId="9" fillId="0" borderId="0" xfId="2" applyFont="1" applyFill="1" applyBorder="1" applyAlignment="1">
      <alignment horizontal="right"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44" fontId="6" fillId="7" borderId="5" xfId="0" applyNumberFormat="1" applyFont="1" applyFill="1" applyBorder="1" applyAlignment="1">
      <alignment horizontal="center" vertical="center" wrapText="1"/>
    </xf>
    <xf numFmtId="44" fontId="9" fillId="0" borderId="5" xfId="1" applyFont="1" applyFill="1" applyBorder="1" applyAlignment="1">
      <alignment horizontal="center" vertical="center"/>
    </xf>
    <xf numFmtId="44" fontId="15" fillId="8" borderId="32" xfId="1" applyFont="1" applyFill="1" applyBorder="1" applyAlignment="1">
      <alignment horizontal="center" vertical="center"/>
    </xf>
    <xf numFmtId="165" fontId="12" fillId="3" borderId="56" xfId="2" applyNumberFormat="1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left" vertical="center" wrapText="1"/>
    </xf>
    <xf numFmtId="4" fontId="3" fillId="6" borderId="40" xfId="0" applyNumberFormat="1" applyFont="1" applyFill="1" applyBorder="1" applyAlignment="1">
      <alignment horizontal="center" vertical="center" wrapText="1"/>
    </xf>
    <xf numFmtId="44" fontId="3" fillId="6" borderId="44" xfId="0" applyNumberFormat="1" applyFont="1" applyFill="1" applyBorder="1" applyAlignment="1">
      <alignment horizontal="center" vertical="center" wrapText="1"/>
    </xf>
    <xf numFmtId="44" fontId="3" fillId="6" borderId="4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2" fontId="6" fillId="0" borderId="46" xfId="0" applyNumberFormat="1" applyFont="1" applyBorder="1" applyAlignment="1">
      <alignment horizontal="center" vertical="center"/>
    </xf>
    <xf numFmtId="165" fontId="12" fillId="3" borderId="57" xfId="2" applyNumberFormat="1" applyFont="1" applyFill="1" applyBorder="1" applyAlignment="1">
      <alignment horizontal="center" vertical="center"/>
    </xf>
    <xf numFmtId="49" fontId="32" fillId="12" borderId="30" xfId="0" applyNumberFormat="1" applyFont="1" applyFill="1" applyBorder="1" applyAlignment="1">
      <alignment horizontal="center" vertical="center"/>
    </xf>
    <xf numFmtId="49" fontId="32" fillId="12" borderId="31" xfId="0" applyNumberFormat="1" applyFont="1" applyFill="1" applyBorder="1" applyAlignment="1">
      <alignment horizontal="center" vertical="center"/>
    </xf>
    <xf numFmtId="44" fontId="33" fillId="12" borderId="31" xfId="0" applyNumberFormat="1" applyFont="1" applyFill="1" applyBorder="1" applyAlignment="1">
      <alignment horizontal="center" vertical="center"/>
    </xf>
    <xf numFmtId="44" fontId="33" fillId="12" borderId="32" xfId="0" applyNumberFormat="1" applyFont="1" applyFill="1" applyBorder="1" applyAlignment="1">
      <alignment horizontal="center" vertical="center"/>
    </xf>
    <xf numFmtId="49" fontId="32" fillId="11" borderId="19" xfId="0" applyNumberFormat="1" applyFont="1" applyFill="1" applyBorder="1" applyAlignment="1">
      <alignment horizontal="center" vertical="center"/>
    </xf>
    <xf numFmtId="49" fontId="32" fillId="11" borderId="20" xfId="0" applyNumberFormat="1" applyFont="1" applyFill="1" applyBorder="1" applyAlignment="1">
      <alignment horizontal="center" vertical="center"/>
    </xf>
    <xf numFmtId="44" fontId="33" fillId="11" borderId="20" xfId="0" applyNumberFormat="1" applyFont="1" applyFill="1" applyBorder="1" applyAlignment="1">
      <alignment horizontal="center" vertical="center"/>
    </xf>
    <xf numFmtId="44" fontId="33" fillId="11" borderId="21" xfId="0" applyNumberFormat="1" applyFont="1" applyFill="1" applyBorder="1" applyAlignment="1">
      <alignment horizontal="center" vertical="center"/>
    </xf>
    <xf numFmtId="49" fontId="32" fillId="11" borderId="29" xfId="0" applyNumberFormat="1" applyFont="1" applyFill="1" applyBorder="1" applyAlignment="1">
      <alignment horizontal="center" vertical="center"/>
    </xf>
    <xf numFmtId="49" fontId="32" fillId="11" borderId="2" xfId="0" applyNumberFormat="1" applyFont="1" applyFill="1" applyBorder="1" applyAlignment="1">
      <alignment horizontal="center" vertical="center"/>
    </xf>
    <xf numFmtId="44" fontId="33" fillId="11" borderId="2" xfId="0" applyNumberFormat="1" applyFont="1" applyFill="1" applyBorder="1" applyAlignment="1">
      <alignment horizontal="center" vertical="center"/>
    </xf>
    <xf numFmtId="44" fontId="33" fillId="11" borderId="5" xfId="0" applyNumberFormat="1" applyFont="1" applyFill="1" applyBorder="1" applyAlignment="1">
      <alignment horizontal="center" vertical="center"/>
    </xf>
    <xf numFmtId="49" fontId="32" fillId="11" borderId="30" xfId="0" applyNumberFormat="1" applyFont="1" applyFill="1" applyBorder="1" applyAlignment="1">
      <alignment horizontal="center" vertical="center"/>
    </xf>
    <xf numFmtId="49" fontId="32" fillId="11" borderId="31" xfId="0" applyNumberFormat="1" applyFont="1" applyFill="1" applyBorder="1" applyAlignment="1">
      <alignment horizontal="center" vertical="center"/>
    </xf>
    <xf numFmtId="44" fontId="33" fillId="11" borderId="31" xfId="0" applyNumberFormat="1" applyFont="1" applyFill="1" applyBorder="1" applyAlignment="1">
      <alignment horizontal="center" vertical="center"/>
    </xf>
    <xf numFmtId="44" fontId="33" fillId="11" borderId="32" xfId="0" applyNumberFormat="1" applyFont="1" applyFill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48" xfId="0" applyNumberFormat="1" applyFont="1" applyBorder="1" applyAlignment="1">
      <alignment horizontal="center" vertical="center"/>
    </xf>
    <xf numFmtId="49" fontId="31" fillId="0" borderId="43" xfId="0" applyNumberFormat="1" applyFont="1" applyBorder="1" applyAlignment="1">
      <alignment horizontal="center" vertical="center"/>
    </xf>
    <xf numFmtId="49" fontId="31" fillId="0" borderId="26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2" fontId="3" fillId="6" borderId="53" xfId="0" applyNumberFormat="1" applyFont="1" applyFill="1" applyBorder="1" applyAlignment="1">
      <alignment horizontal="center" vertical="center" wrapText="1"/>
    </xf>
    <xf numFmtId="2" fontId="3" fillId="6" borderId="54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49" fontId="31" fillId="0" borderId="43" xfId="0" applyNumberFormat="1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16" fillId="3" borderId="0" xfId="0" applyNumberFormat="1" applyFont="1" applyFill="1" applyBorder="1" applyAlignment="1">
      <alignment horizontal="center" vertical="center"/>
    </xf>
    <xf numFmtId="49" fontId="16" fillId="3" borderId="15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8" fillId="4" borderId="23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27" fillId="10" borderId="8" xfId="0" applyFont="1" applyFill="1" applyBorder="1" applyAlignment="1">
      <alignment horizontal="center" vertical="center" wrapText="1"/>
    </xf>
    <xf numFmtId="0" fontId="27" fillId="10" borderId="9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36" fillId="8" borderId="16" xfId="0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6" fillId="8" borderId="37" xfId="0" applyFont="1" applyFill="1" applyBorder="1" applyAlignment="1">
      <alignment horizontal="center" vertical="center" wrapText="1"/>
    </xf>
    <xf numFmtId="44" fontId="15" fillId="8" borderId="33" xfId="0" applyNumberFormat="1" applyFont="1" applyFill="1" applyBorder="1" applyAlignment="1">
      <alignment horizontal="center" vertical="center"/>
    </xf>
    <xf numFmtId="44" fontId="15" fillId="8" borderId="24" xfId="0" applyNumberFormat="1" applyFont="1" applyFill="1" applyBorder="1" applyAlignment="1">
      <alignment horizontal="center" vertical="center"/>
    </xf>
    <xf numFmtId="44" fontId="15" fillId="8" borderId="34" xfId="0" applyNumberFormat="1" applyFont="1" applyFill="1" applyBorder="1" applyAlignment="1">
      <alignment horizontal="center" vertical="center"/>
    </xf>
    <xf numFmtId="44" fontId="15" fillId="8" borderId="30" xfId="0" applyNumberFormat="1" applyFont="1" applyFill="1" applyBorder="1" applyAlignment="1">
      <alignment horizontal="center" vertical="center"/>
    </xf>
    <xf numFmtId="44" fontId="15" fillId="8" borderId="31" xfId="0" applyNumberFormat="1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 wrapText="1"/>
    </xf>
    <xf numFmtId="0" fontId="28" fillId="4" borderId="24" xfId="0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44" fontId="15" fillId="8" borderId="33" xfId="0" applyNumberFormat="1" applyFont="1" applyFill="1" applyBorder="1" applyAlignment="1">
      <alignment horizontal="center" vertical="center" wrapText="1"/>
    </xf>
    <xf numFmtId="44" fontId="15" fillId="8" borderId="24" xfId="0" applyNumberFormat="1" applyFont="1" applyFill="1" applyBorder="1" applyAlignment="1">
      <alignment horizontal="center" vertical="center" wrapText="1"/>
    </xf>
    <xf numFmtId="44" fontId="15" fillId="8" borderId="34" xfId="0" applyNumberFormat="1" applyFont="1" applyFill="1" applyBorder="1" applyAlignment="1">
      <alignment horizontal="center" vertical="center" wrapText="1"/>
    </xf>
    <xf numFmtId="0" fontId="28" fillId="4" borderId="27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28" xfId="0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</cellXfs>
  <cellStyles count="5">
    <cellStyle name="Excel Built-in Normal" xfId="4" xr:uid="{B4688A52-20A5-4424-9901-C6A41768BD7E}"/>
    <cellStyle name="Normalny" xfId="0" builtinId="0"/>
    <cellStyle name="Walutowy" xfId="1" builtinId="4"/>
    <cellStyle name="Walutowy 4" xfId="2" xr:uid="{15E15A5E-519E-4919-87B6-6021DF6982C1}"/>
    <cellStyle name="Walutowy 6" xfId="3" xr:uid="{4B20D486-AC48-4CE7-8028-6AD78AC0AAC3}"/>
  </cellStyles>
  <dxfs count="132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57D3FF"/>
      <color rgb="FFA365D1"/>
      <color rgb="FF46D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0157-A59C-4CA1-A2D8-62C289F7AF8E}">
  <sheetPr>
    <pageSetUpPr fitToPage="1"/>
  </sheetPr>
  <dimension ref="B1:N468"/>
  <sheetViews>
    <sheetView tabSelected="1" view="pageBreakPreview" topLeftCell="A38" zoomScale="80" zoomScaleNormal="60" zoomScaleSheetLayoutView="80" workbookViewId="0">
      <selection activeCell="B461" sqref="D461:G461"/>
    </sheetView>
  </sheetViews>
  <sheetFormatPr defaultRowHeight="15" x14ac:dyDescent="0.25"/>
  <cols>
    <col min="1" max="1" width="1.28515625" customWidth="1"/>
    <col min="2" max="2" width="10.7109375" style="103" customWidth="1"/>
    <col min="3" max="3" width="66.28515625" customWidth="1"/>
    <col min="4" max="4" width="7.7109375" customWidth="1"/>
    <col min="5" max="5" width="10.42578125" customWidth="1"/>
    <col min="6" max="7" width="15.28515625" style="17" customWidth="1"/>
    <col min="8" max="8" width="1.42578125" style="149" customWidth="1"/>
  </cols>
  <sheetData>
    <row r="1" spans="2:7" ht="7.15" customHeight="1" thickBot="1" x14ac:dyDescent="0.3"/>
    <row r="2" spans="2:7" ht="42.6" customHeight="1" thickBot="1" x14ac:dyDescent="0.3">
      <c r="B2" s="217" t="s">
        <v>577</v>
      </c>
      <c r="C2" s="218"/>
      <c r="D2" s="218"/>
      <c r="E2" s="218"/>
      <c r="F2" s="218"/>
      <c r="G2" s="219"/>
    </row>
    <row r="3" spans="2:7" x14ac:dyDescent="0.25">
      <c r="B3" s="220" t="s">
        <v>147</v>
      </c>
      <c r="C3" s="222" t="s">
        <v>148</v>
      </c>
      <c r="D3" s="222"/>
      <c r="E3" s="222"/>
      <c r="F3" s="222"/>
      <c r="G3" s="223"/>
    </row>
    <row r="4" spans="2:7" x14ac:dyDescent="0.25">
      <c r="B4" s="221"/>
      <c r="C4" s="224"/>
      <c r="D4" s="224"/>
      <c r="E4" s="224"/>
      <c r="F4" s="224"/>
      <c r="G4" s="225"/>
    </row>
    <row r="5" spans="2:7" x14ac:dyDescent="0.25">
      <c r="B5" s="221"/>
      <c r="C5" s="224"/>
      <c r="D5" s="224"/>
      <c r="E5" s="224"/>
      <c r="F5" s="224"/>
      <c r="G5" s="225"/>
    </row>
    <row r="6" spans="2:7" ht="16.5" x14ac:dyDescent="0.25">
      <c r="B6" s="200"/>
      <c r="C6" s="201"/>
      <c r="D6" s="201"/>
      <c r="E6" s="201"/>
      <c r="F6" s="201"/>
      <c r="G6" s="202"/>
    </row>
    <row r="7" spans="2:7" ht="33" x14ac:dyDescent="0.25">
      <c r="B7" s="104" t="s">
        <v>149</v>
      </c>
      <c r="C7" s="203" t="s">
        <v>155</v>
      </c>
      <c r="D7" s="203"/>
      <c r="E7" s="203"/>
      <c r="F7" s="203"/>
      <c r="G7" s="204"/>
    </row>
    <row r="8" spans="2:7" ht="33" x14ac:dyDescent="0.25">
      <c r="B8" s="104" t="s">
        <v>150</v>
      </c>
      <c r="C8" s="205" t="s">
        <v>151</v>
      </c>
      <c r="D8" s="205"/>
      <c r="E8" s="205"/>
      <c r="F8" s="205"/>
      <c r="G8" s="206"/>
    </row>
    <row r="9" spans="2:7" ht="16.5" x14ac:dyDescent="0.25">
      <c r="B9" s="145" t="s">
        <v>152</v>
      </c>
      <c r="C9" s="207" t="s">
        <v>157</v>
      </c>
      <c r="D9" s="207"/>
      <c r="E9" s="207"/>
      <c r="F9" s="207"/>
      <c r="G9" s="208"/>
    </row>
    <row r="10" spans="2:7" ht="17.25" thickBot="1" x14ac:dyDescent="0.3">
      <c r="B10" s="145" t="s">
        <v>153</v>
      </c>
      <c r="C10" s="224" t="s">
        <v>156</v>
      </c>
      <c r="D10" s="224"/>
      <c r="E10" s="224"/>
      <c r="F10" s="224"/>
      <c r="G10" s="225"/>
    </row>
    <row r="11" spans="2:7" ht="15.75" x14ac:dyDescent="0.25">
      <c r="B11" s="243" t="s">
        <v>130</v>
      </c>
      <c r="C11" s="244"/>
      <c r="D11" s="244"/>
      <c r="E11" s="244"/>
      <c r="F11" s="244"/>
      <c r="G11" s="245"/>
    </row>
    <row r="12" spans="2:7" ht="16.5" thickBot="1" x14ac:dyDescent="0.3">
      <c r="B12" s="107" t="s">
        <v>158</v>
      </c>
      <c r="C12" s="240" t="s">
        <v>154</v>
      </c>
      <c r="D12" s="241"/>
      <c r="E12" s="241"/>
      <c r="F12" s="241"/>
      <c r="G12" s="242"/>
    </row>
    <row r="13" spans="2:7" ht="33" x14ac:dyDescent="0.25">
      <c r="B13" s="108" t="s">
        <v>0</v>
      </c>
      <c r="C13" s="61" t="s">
        <v>1</v>
      </c>
      <c r="D13" s="61" t="s">
        <v>2</v>
      </c>
      <c r="E13" s="62" t="s">
        <v>3</v>
      </c>
      <c r="F13" s="63" t="s">
        <v>4</v>
      </c>
      <c r="G13" s="64" t="s">
        <v>5</v>
      </c>
    </row>
    <row r="14" spans="2:7" ht="16.5" x14ac:dyDescent="0.25">
      <c r="B14" s="109" t="s">
        <v>139</v>
      </c>
      <c r="C14" s="18" t="s">
        <v>6</v>
      </c>
      <c r="D14" s="31"/>
      <c r="E14" s="46"/>
      <c r="F14" s="33"/>
      <c r="G14" s="65"/>
    </row>
    <row r="15" spans="2:7" ht="38.25" x14ac:dyDescent="0.25">
      <c r="B15" s="110" t="s">
        <v>226</v>
      </c>
      <c r="C15" s="11" t="s">
        <v>7</v>
      </c>
      <c r="D15" s="1" t="s">
        <v>8</v>
      </c>
      <c r="E15" s="40">
        <v>0.79700000000000004</v>
      </c>
      <c r="F15" s="132"/>
      <c r="G15" s="66"/>
    </row>
    <row r="16" spans="2:7" x14ac:dyDescent="0.25">
      <c r="B16" s="110" t="s">
        <v>227</v>
      </c>
      <c r="C16" s="11" t="s">
        <v>104</v>
      </c>
      <c r="D16" s="1" t="s">
        <v>105</v>
      </c>
      <c r="E16" s="2">
        <v>0.21</v>
      </c>
      <c r="F16" s="132"/>
      <c r="G16" s="66"/>
    </row>
    <row r="17" spans="2:7" x14ac:dyDescent="0.25">
      <c r="B17" s="110" t="s">
        <v>228</v>
      </c>
      <c r="C17" s="3" t="s">
        <v>9</v>
      </c>
      <c r="D17" s="10" t="s">
        <v>45</v>
      </c>
      <c r="E17" s="5">
        <f>E40+E42+E43+E44+E45+E46-E18-E19-E57-E22-E23</f>
        <v>837.51</v>
      </c>
      <c r="F17" s="132"/>
      <c r="G17" s="66"/>
    </row>
    <row r="18" spans="2:7" ht="25.5" x14ac:dyDescent="0.25">
      <c r="B18" s="110" t="s">
        <v>229</v>
      </c>
      <c r="C18" s="6" t="s">
        <v>510</v>
      </c>
      <c r="D18" s="15" t="s">
        <v>45</v>
      </c>
      <c r="E18" s="5">
        <v>2391</v>
      </c>
      <c r="F18" s="132"/>
      <c r="G18" s="66"/>
    </row>
    <row r="19" spans="2:7" ht="25.5" x14ac:dyDescent="0.25">
      <c r="B19" s="110" t="s">
        <v>230</v>
      </c>
      <c r="C19" s="6" t="s">
        <v>127</v>
      </c>
      <c r="D19" s="4" t="s">
        <v>43</v>
      </c>
      <c r="E19" s="5">
        <v>25</v>
      </c>
      <c r="F19" s="132"/>
      <c r="G19" s="66"/>
    </row>
    <row r="20" spans="2:7" ht="25.5" x14ac:dyDescent="0.25">
      <c r="B20" s="110" t="s">
        <v>231</v>
      </c>
      <c r="C20" s="8" t="s">
        <v>12</v>
      </c>
      <c r="D20" s="1" t="s">
        <v>13</v>
      </c>
      <c r="E20" s="2">
        <v>14</v>
      </c>
      <c r="F20" s="132"/>
      <c r="G20" s="66"/>
    </row>
    <row r="21" spans="2:7" ht="25.5" x14ac:dyDescent="0.25">
      <c r="B21" s="110" t="s">
        <v>232</v>
      </c>
      <c r="C21" s="8" t="s">
        <v>128</v>
      </c>
      <c r="D21" s="1" t="s">
        <v>13</v>
      </c>
      <c r="E21" s="2">
        <v>7.5</v>
      </c>
      <c r="F21" s="132"/>
      <c r="G21" s="66"/>
    </row>
    <row r="22" spans="2:7" ht="25.5" x14ac:dyDescent="0.25">
      <c r="B22" s="110" t="s">
        <v>233</v>
      </c>
      <c r="C22" s="7" t="s">
        <v>62</v>
      </c>
      <c r="D22" s="4" t="s">
        <v>43</v>
      </c>
      <c r="E22" s="2">
        <v>47</v>
      </c>
      <c r="F22" s="132"/>
      <c r="G22" s="66"/>
    </row>
    <row r="23" spans="2:7" ht="38.25" x14ac:dyDescent="0.25">
      <c r="B23" s="110" t="s">
        <v>234</v>
      </c>
      <c r="C23" s="9" t="s">
        <v>136</v>
      </c>
      <c r="D23" s="10" t="s">
        <v>45</v>
      </c>
      <c r="E23" s="2">
        <v>63.3</v>
      </c>
      <c r="F23" s="132"/>
      <c r="G23" s="66"/>
    </row>
    <row r="24" spans="2:7" ht="25.5" x14ac:dyDescent="0.25">
      <c r="B24" s="110" t="s">
        <v>235</v>
      </c>
      <c r="C24" s="26" t="s">
        <v>63</v>
      </c>
      <c r="D24" s="15" t="s">
        <v>32</v>
      </c>
      <c r="E24" s="2">
        <v>3</v>
      </c>
      <c r="F24" s="132"/>
      <c r="G24" s="66"/>
    </row>
    <row r="25" spans="2:7" ht="25.5" x14ac:dyDescent="0.25">
      <c r="B25" s="110" t="s">
        <v>236</v>
      </c>
      <c r="C25" s="26" t="s">
        <v>64</v>
      </c>
      <c r="D25" s="15" t="s">
        <v>32</v>
      </c>
      <c r="E25" s="2">
        <v>7</v>
      </c>
      <c r="F25" s="132"/>
      <c r="G25" s="66"/>
    </row>
    <row r="26" spans="2:7" ht="25.5" x14ac:dyDescent="0.25">
      <c r="B26" s="110" t="s">
        <v>237</v>
      </c>
      <c r="C26" s="26" t="s">
        <v>65</v>
      </c>
      <c r="D26" s="15" t="s">
        <v>32</v>
      </c>
      <c r="E26" s="2">
        <v>4</v>
      </c>
      <c r="F26" s="132"/>
      <c r="G26" s="66"/>
    </row>
    <row r="27" spans="2:7" ht="16.5" x14ac:dyDescent="0.25">
      <c r="B27" s="109" t="s">
        <v>140</v>
      </c>
      <c r="C27" s="18" t="s">
        <v>15</v>
      </c>
      <c r="D27" s="42"/>
      <c r="E27" s="35"/>
      <c r="F27" s="47"/>
      <c r="G27" s="67"/>
    </row>
    <row r="28" spans="2:7" ht="25.5" x14ac:dyDescent="0.25">
      <c r="B28" s="111" t="s">
        <v>238</v>
      </c>
      <c r="C28" s="9" t="s">
        <v>16</v>
      </c>
      <c r="D28" s="10" t="s">
        <v>44</v>
      </c>
      <c r="E28" s="5">
        <f>E38*0.48+E37*0.33+E36*0.43+E33*0.45+E29-E17*0.15-E18*0.15-E19*0.1-E22*0.08-E23*0.08</f>
        <v>1896.9595450000002</v>
      </c>
      <c r="F28" s="132"/>
      <c r="G28" s="66"/>
    </row>
    <row r="29" spans="2:7" ht="25.5" x14ac:dyDescent="0.25">
      <c r="B29" s="110" t="s">
        <v>239</v>
      </c>
      <c r="C29" s="9" t="s">
        <v>108</v>
      </c>
      <c r="D29" s="10" t="s">
        <v>44</v>
      </c>
      <c r="E29" s="2">
        <f>89.5</f>
        <v>89.5</v>
      </c>
      <c r="F29" s="132"/>
      <c r="G29" s="66"/>
    </row>
    <row r="30" spans="2:7" x14ac:dyDescent="0.25">
      <c r="B30" s="110" t="s">
        <v>240</v>
      </c>
      <c r="C30" s="9" t="s">
        <v>18</v>
      </c>
      <c r="D30" s="10" t="s">
        <v>45</v>
      </c>
      <c r="E30" s="2">
        <f>E38+E37+E36+E33</f>
        <v>5059.6815000000006</v>
      </c>
      <c r="F30" s="132"/>
      <c r="G30" s="66"/>
    </row>
    <row r="31" spans="2:7" ht="16.5" x14ac:dyDescent="0.25">
      <c r="B31" s="109" t="s">
        <v>141</v>
      </c>
      <c r="C31" s="18" t="s">
        <v>19</v>
      </c>
      <c r="D31" s="42"/>
      <c r="E31" s="35"/>
      <c r="F31" s="47"/>
      <c r="G31" s="67"/>
    </row>
    <row r="32" spans="2:7" ht="38.25" x14ac:dyDescent="0.25">
      <c r="B32" s="110" t="s">
        <v>241</v>
      </c>
      <c r="C32" s="11" t="s">
        <v>539</v>
      </c>
      <c r="D32" s="1" t="s">
        <v>45</v>
      </c>
      <c r="E32" s="2">
        <f>E40*1.1</f>
        <v>1626.3500000000001</v>
      </c>
      <c r="F32" s="132"/>
      <c r="G32" s="66"/>
    </row>
    <row r="33" spans="2:7" ht="25.5" x14ac:dyDescent="0.25">
      <c r="B33" s="110" t="s">
        <v>242</v>
      </c>
      <c r="C33" s="11" t="s">
        <v>135</v>
      </c>
      <c r="D33" s="1" t="s">
        <v>45</v>
      </c>
      <c r="E33" s="2">
        <f>(E42+E41)*1.1</f>
        <v>2459.6000000000004</v>
      </c>
      <c r="F33" s="132"/>
      <c r="G33" s="66"/>
    </row>
    <row r="34" spans="2:7" ht="38.25" x14ac:dyDescent="0.25">
      <c r="B34" s="110" t="s">
        <v>243</v>
      </c>
      <c r="C34" s="11" t="s">
        <v>540</v>
      </c>
      <c r="D34" s="1" t="s">
        <v>45</v>
      </c>
      <c r="E34" s="2">
        <f>(E44+E45+E43)*1.1</f>
        <v>689.49099999999999</v>
      </c>
      <c r="F34" s="132"/>
      <c r="G34" s="66"/>
    </row>
    <row r="35" spans="2:7" ht="38.25" x14ac:dyDescent="0.25">
      <c r="B35" s="110" t="s">
        <v>244</v>
      </c>
      <c r="C35" s="11" t="s">
        <v>21</v>
      </c>
      <c r="D35" s="1" t="s">
        <v>45</v>
      </c>
      <c r="E35" s="2">
        <f>E46*1.1</f>
        <v>105.05000000000001</v>
      </c>
      <c r="F35" s="132"/>
      <c r="G35" s="66"/>
    </row>
    <row r="36" spans="2:7" ht="25.5" x14ac:dyDescent="0.25">
      <c r="B36" s="110" t="s">
        <v>245</v>
      </c>
      <c r="C36" s="11" t="s">
        <v>22</v>
      </c>
      <c r="D36" s="1" t="s">
        <v>45</v>
      </c>
      <c r="E36" s="2">
        <f>(E45+E43+E44)*1.15</f>
        <v>720.83149999999989</v>
      </c>
      <c r="F36" s="132"/>
      <c r="G36" s="66"/>
    </row>
    <row r="37" spans="2:7" ht="25.5" x14ac:dyDescent="0.25">
      <c r="B37" s="110" t="s">
        <v>246</v>
      </c>
      <c r="C37" s="11" t="s">
        <v>23</v>
      </c>
      <c r="D37" s="1" t="s">
        <v>45</v>
      </c>
      <c r="E37" s="2">
        <f>E46*1.1</f>
        <v>105.05000000000001</v>
      </c>
      <c r="F37" s="132"/>
      <c r="G37" s="66"/>
    </row>
    <row r="38" spans="2:7" ht="25.5" x14ac:dyDescent="0.25">
      <c r="B38" s="110" t="s">
        <v>247</v>
      </c>
      <c r="C38" s="11" t="s">
        <v>541</v>
      </c>
      <c r="D38" s="1" t="s">
        <v>45</v>
      </c>
      <c r="E38" s="2">
        <f>E40*1.2</f>
        <v>1774.2</v>
      </c>
      <c r="F38" s="132"/>
      <c r="G38" s="66"/>
    </row>
    <row r="39" spans="2:7" ht="16.5" x14ac:dyDescent="0.25">
      <c r="B39" s="109" t="s">
        <v>142</v>
      </c>
      <c r="C39" s="18" t="s">
        <v>24</v>
      </c>
      <c r="D39" s="42"/>
      <c r="E39" s="35"/>
      <c r="F39" s="47"/>
      <c r="G39" s="67"/>
    </row>
    <row r="40" spans="2:7" ht="21.6" customHeight="1" x14ac:dyDescent="0.25">
      <c r="B40" s="110" t="s">
        <v>248</v>
      </c>
      <c r="C40" s="12" t="s">
        <v>536</v>
      </c>
      <c r="D40" s="1" t="s">
        <v>45</v>
      </c>
      <c r="E40" s="2">
        <v>1478.5</v>
      </c>
      <c r="F40" s="132"/>
      <c r="G40" s="66"/>
    </row>
    <row r="41" spans="2:7" ht="25.5" x14ac:dyDescent="0.25">
      <c r="B41" s="110" t="s">
        <v>249</v>
      </c>
      <c r="C41" s="45" t="s">
        <v>129</v>
      </c>
      <c r="D41" s="10" t="s">
        <v>45</v>
      </c>
      <c r="E41" s="2">
        <v>777</v>
      </c>
      <c r="F41" s="132"/>
      <c r="G41" s="66"/>
    </row>
    <row r="42" spans="2:7" ht="25.5" x14ac:dyDescent="0.25">
      <c r="B42" s="110" t="s">
        <v>250</v>
      </c>
      <c r="C42" s="41" t="s">
        <v>115</v>
      </c>
      <c r="D42" s="15" t="s">
        <v>45</v>
      </c>
      <c r="E42" s="2">
        <v>1459</v>
      </c>
      <c r="F42" s="132"/>
      <c r="G42" s="66"/>
    </row>
    <row r="43" spans="2:7" ht="38.25" x14ac:dyDescent="0.25">
      <c r="B43" s="110" t="s">
        <v>251</v>
      </c>
      <c r="C43" s="12" t="s">
        <v>537</v>
      </c>
      <c r="D43" s="1" t="s">
        <v>45</v>
      </c>
      <c r="E43" s="2">
        <v>452</v>
      </c>
      <c r="F43" s="132"/>
      <c r="G43" s="66"/>
    </row>
    <row r="44" spans="2:7" ht="25.5" x14ac:dyDescent="0.25">
      <c r="B44" s="110" t="s">
        <v>252</v>
      </c>
      <c r="C44" s="12" t="s">
        <v>132</v>
      </c>
      <c r="D44" s="1" t="s">
        <v>45</v>
      </c>
      <c r="E44" s="2">
        <v>115.67</v>
      </c>
      <c r="F44" s="132"/>
      <c r="G44" s="66"/>
    </row>
    <row r="45" spans="2:7" ht="25.5" x14ac:dyDescent="0.25">
      <c r="B45" s="110" t="s">
        <v>253</v>
      </c>
      <c r="C45" s="12" t="s">
        <v>538</v>
      </c>
      <c r="D45" s="1" t="s">
        <v>45</v>
      </c>
      <c r="E45" s="2">
        <v>59.14</v>
      </c>
      <c r="F45" s="132"/>
      <c r="G45" s="66"/>
    </row>
    <row r="46" spans="2:7" ht="25.5" x14ac:dyDescent="0.25">
      <c r="B46" s="110" t="s">
        <v>254</v>
      </c>
      <c r="C46" s="12" t="s">
        <v>133</v>
      </c>
      <c r="D46" s="1" t="s">
        <v>45</v>
      </c>
      <c r="E46" s="2">
        <v>95.5</v>
      </c>
      <c r="F46" s="132"/>
      <c r="G46" s="66"/>
    </row>
    <row r="47" spans="2:7" ht="16.5" x14ac:dyDescent="0.25">
      <c r="B47" s="109" t="s">
        <v>143</v>
      </c>
      <c r="C47" s="18" t="s">
        <v>27</v>
      </c>
      <c r="D47" s="42"/>
      <c r="E47" s="35"/>
      <c r="F47" s="47"/>
      <c r="G47" s="67"/>
    </row>
    <row r="48" spans="2:7" ht="25.5" x14ac:dyDescent="0.25">
      <c r="B48" s="110" t="s">
        <v>255</v>
      </c>
      <c r="C48" s="7" t="s">
        <v>74</v>
      </c>
      <c r="D48" s="1" t="s">
        <v>29</v>
      </c>
      <c r="E48" s="5">
        <v>111.9</v>
      </c>
      <c r="F48" s="132"/>
      <c r="G48" s="66"/>
    </row>
    <row r="49" spans="2:8" ht="25.5" x14ac:dyDescent="0.25">
      <c r="B49" s="110" t="s">
        <v>256</v>
      </c>
      <c r="C49" s="7" t="s">
        <v>28</v>
      </c>
      <c r="D49" s="1" t="s">
        <v>29</v>
      </c>
      <c r="E49" s="16">
        <f>313.7+409.9</f>
        <v>723.59999999999991</v>
      </c>
      <c r="F49" s="132"/>
      <c r="G49" s="66"/>
    </row>
    <row r="50" spans="2:8" x14ac:dyDescent="0.25">
      <c r="B50" s="110" t="s">
        <v>257</v>
      </c>
      <c r="C50" s="7" t="s">
        <v>100</v>
      </c>
      <c r="D50" s="4" t="s">
        <v>29</v>
      </c>
      <c r="E50" s="5">
        <v>77.099999999999994</v>
      </c>
      <c r="F50" s="132"/>
      <c r="G50" s="30"/>
    </row>
    <row r="51" spans="2:8" ht="16.5" x14ac:dyDescent="0.25">
      <c r="B51" s="109" t="s">
        <v>144</v>
      </c>
      <c r="C51" s="18" t="s">
        <v>30</v>
      </c>
      <c r="D51" s="42"/>
      <c r="E51" s="35"/>
      <c r="F51" s="47"/>
      <c r="G51" s="67"/>
    </row>
    <row r="52" spans="2:8" x14ac:dyDescent="0.25">
      <c r="B52" s="110" t="s">
        <v>258</v>
      </c>
      <c r="C52" s="9" t="s">
        <v>31</v>
      </c>
      <c r="D52" s="10" t="s">
        <v>32</v>
      </c>
      <c r="E52" s="2">
        <f>3+3</f>
        <v>6</v>
      </c>
      <c r="F52" s="132"/>
      <c r="G52" s="66"/>
    </row>
    <row r="53" spans="2:8" ht="27.75" x14ac:dyDescent="0.25">
      <c r="B53" s="110" t="s">
        <v>259</v>
      </c>
      <c r="C53" s="9" t="s">
        <v>46</v>
      </c>
      <c r="D53" s="10" t="s">
        <v>32</v>
      </c>
      <c r="E53" s="2">
        <f>7+3</f>
        <v>10</v>
      </c>
      <c r="F53" s="132"/>
      <c r="G53" s="66"/>
    </row>
    <row r="54" spans="2:8" x14ac:dyDescent="0.25">
      <c r="B54" s="110" t="s">
        <v>260</v>
      </c>
      <c r="C54" s="26" t="s">
        <v>137</v>
      </c>
      <c r="D54" s="15" t="s">
        <v>32</v>
      </c>
      <c r="E54" s="2">
        <v>4</v>
      </c>
      <c r="F54" s="132"/>
      <c r="G54" s="66"/>
    </row>
    <row r="55" spans="2:8" x14ac:dyDescent="0.25">
      <c r="B55" s="110" t="s">
        <v>261</v>
      </c>
      <c r="C55" s="8" t="s">
        <v>33</v>
      </c>
      <c r="D55" s="1" t="s">
        <v>34</v>
      </c>
      <c r="E55" s="2">
        <v>1</v>
      </c>
      <c r="F55" s="132"/>
      <c r="G55" s="66"/>
    </row>
    <row r="56" spans="2:8" ht="16.5" x14ac:dyDescent="0.25">
      <c r="B56" s="109" t="s">
        <v>145</v>
      </c>
      <c r="C56" s="18" t="s">
        <v>35</v>
      </c>
      <c r="D56" s="42"/>
      <c r="E56" s="35"/>
      <c r="F56" s="47"/>
      <c r="G56" s="67"/>
    </row>
    <row r="57" spans="2:8" x14ac:dyDescent="0.25">
      <c r="B57" s="111" t="s">
        <v>262</v>
      </c>
      <c r="C57" s="11" t="s">
        <v>110</v>
      </c>
      <c r="D57" s="15" t="s">
        <v>45</v>
      </c>
      <c r="E57" s="5">
        <v>296</v>
      </c>
      <c r="F57" s="132"/>
      <c r="G57" s="66"/>
      <c r="H57" s="147"/>
    </row>
    <row r="58" spans="2:8" ht="25.5" x14ac:dyDescent="0.25">
      <c r="B58" s="111" t="s">
        <v>263</v>
      </c>
      <c r="C58" s="8" t="s">
        <v>111</v>
      </c>
      <c r="D58" s="10" t="s">
        <v>45</v>
      </c>
      <c r="E58" s="5">
        <v>879.5</v>
      </c>
      <c r="F58" s="132"/>
      <c r="G58" s="66"/>
      <c r="H58" s="147"/>
    </row>
    <row r="59" spans="2:8" ht="16.5" x14ac:dyDescent="0.25">
      <c r="B59" s="109" t="s">
        <v>146</v>
      </c>
      <c r="C59" s="25" t="s">
        <v>56</v>
      </c>
      <c r="D59" s="42"/>
      <c r="E59" s="35"/>
      <c r="F59" s="48"/>
      <c r="G59" s="67"/>
    </row>
    <row r="60" spans="2:8" x14ac:dyDescent="0.25">
      <c r="B60" s="110" t="s">
        <v>264</v>
      </c>
      <c r="C60" s="11" t="s">
        <v>79</v>
      </c>
      <c r="D60" s="1" t="s">
        <v>29</v>
      </c>
      <c r="E60" s="2">
        <v>26</v>
      </c>
      <c r="F60" s="132"/>
      <c r="G60" s="66"/>
    </row>
    <row r="61" spans="2:8" ht="38.25" x14ac:dyDescent="0.25">
      <c r="B61" s="110" t="s">
        <v>265</v>
      </c>
      <c r="C61" s="27" t="s">
        <v>138</v>
      </c>
      <c r="D61" s="28" t="s">
        <v>81</v>
      </c>
      <c r="E61" s="29">
        <v>1</v>
      </c>
      <c r="F61" s="132"/>
      <c r="G61" s="66"/>
    </row>
    <row r="62" spans="2:8" ht="36.6" customHeight="1" thickBot="1" x14ac:dyDescent="0.3">
      <c r="B62" s="246" t="s">
        <v>131</v>
      </c>
      <c r="C62" s="247"/>
      <c r="D62" s="247"/>
      <c r="E62" s="247"/>
      <c r="F62" s="248"/>
      <c r="G62" s="95"/>
    </row>
    <row r="63" spans="2:8" ht="15.75" x14ac:dyDescent="0.25">
      <c r="B63" s="243" t="s">
        <v>163</v>
      </c>
      <c r="C63" s="244"/>
      <c r="D63" s="244"/>
      <c r="E63" s="244"/>
      <c r="F63" s="244"/>
      <c r="G63" s="245"/>
    </row>
    <row r="64" spans="2:8" ht="16.5" thickBot="1" x14ac:dyDescent="0.3">
      <c r="B64" s="112" t="s">
        <v>158</v>
      </c>
      <c r="C64" s="249" t="s">
        <v>164</v>
      </c>
      <c r="D64" s="250"/>
      <c r="E64" s="250"/>
      <c r="F64" s="250"/>
      <c r="G64" s="251"/>
    </row>
    <row r="65" spans="2:7" ht="33" x14ac:dyDescent="0.25">
      <c r="B65" s="108" t="s">
        <v>0</v>
      </c>
      <c r="C65" s="61" t="s">
        <v>1</v>
      </c>
      <c r="D65" s="61" t="s">
        <v>2</v>
      </c>
      <c r="E65" s="74" t="s">
        <v>3</v>
      </c>
      <c r="F65" s="75" t="s">
        <v>4</v>
      </c>
      <c r="G65" s="76" t="s">
        <v>5</v>
      </c>
    </row>
    <row r="66" spans="2:7" ht="16.5" x14ac:dyDescent="0.25">
      <c r="B66" s="109" t="s">
        <v>170</v>
      </c>
      <c r="C66" s="18" t="s">
        <v>6</v>
      </c>
      <c r="D66" s="31"/>
      <c r="E66" s="31"/>
      <c r="F66" s="31"/>
      <c r="G66" s="60"/>
    </row>
    <row r="67" spans="2:7" ht="38.25" x14ac:dyDescent="0.25">
      <c r="B67" s="110" t="s">
        <v>266</v>
      </c>
      <c r="C67" s="11" t="s">
        <v>7</v>
      </c>
      <c r="D67" s="1" t="s">
        <v>8</v>
      </c>
      <c r="E67" s="50">
        <v>0.75700000000000001</v>
      </c>
      <c r="F67" s="132"/>
      <c r="G67" s="59"/>
    </row>
    <row r="68" spans="2:7" x14ac:dyDescent="0.25">
      <c r="B68" s="110" t="s">
        <v>267</v>
      </c>
      <c r="C68" s="11" t="s">
        <v>104</v>
      </c>
      <c r="D68" s="1" t="s">
        <v>105</v>
      </c>
      <c r="E68" s="50">
        <f>(350)/10000</f>
        <v>3.5000000000000003E-2</v>
      </c>
      <c r="F68" s="132"/>
      <c r="G68" s="59"/>
    </row>
    <row r="69" spans="2:7" ht="38.25" x14ac:dyDescent="0.25">
      <c r="B69" s="110" t="s">
        <v>268</v>
      </c>
      <c r="C69" s="57" t="s">
        <v>166</v>
      </c>
      <c r="D69" s="58" t="s">
        <v>32</v>
      </c>
      <c r="E69" s="68">
        <v>4</v>
      </c>
      <c r="F69" s="132"/>
      <c r="G69" s="59"/>
    </row>
    <row r="70" spans="2:7" ht="38.25" x14ac:dyDescent="0.25">
      <c r="B70" s="110" t="s">
        <v>269</v>
      </c>
      <c r="C70" s="57" t="s">
        <v>167</v>
      </c>
      <c r="D70" s="58" t="s">
        <v>32</v>
      </c>
      <c r="E70" s="68">
        <v>2</v>
      </c>
      <c r="F70" s="132"/>
      <c r="G70" s="59"/>
    </row>
    <row r="71" spans="2:7" ht="38.25" x14ac:dyDescent="0.25">
      <c r="B71" s="110" t="s">
        <v>270</v>
      </c>
      <c r="C71" s="57" t="s">
        <v>177</v>
      </c>
      <c r="D71" s="58" t="s">
        <v>32</v>
      </c>
      <c r="E71" s="68">
        <v>2</v>
      </c>
      <c r="F71" s="132"/>
      <c r="G71" s="59"/>
    </row>
    <row r="72" spans="2:7" x14ac:dyDescent="0.25">
      <c r="B72" s="110" t="s">
        <v>271</v>
      </c>
      <c r="C72" s="3" t="s">
        <v>178</v>
      </c>
      <c r="D72" s="15" t="s">
        <v>45</v>
      </c>
      <c r="E72" s="5">
        <f>E79+E81-E73</f>
        <v>2066.4499999999994</v>
      </c>
      <c r="F72" s="132"/>
      <c r="G72" s="59"/>
    </row>
    <row r="73" spans="2:7" ht="25.5" x14ac:dyDescent="0.25">
      <c r="B73" s="110" t="s">
        <v>272</v>
      </c>
      <c r="C73" s="6" t="s">
        <v>61</v>
      </c>
      <c r="D73" s="15" t="s">
        <v>45</v>
      </c>
      <c r="E73" s="5">
        <v>1332</v>
      </c>
      <c r="F73" s="132"/>
      <c r="G73" s="59"/>
    </row>
    <row r="74" spans="2:7" ht="16.5" x14ac:dyDescent="0.25">
      <c r="B74" s="109" t="s">
        <v>171</v>
      </c>
      <c r="C74" s="18" t="s">
        <v>15</v>
      </c>
      <c r="D74" s="42"/>
      <c r="E74" s="43"/>
      <c r="F74" s="31"/>
      <c r="G74" s="60"/>
    </row>
    <row r="75" spans="2:7" ht="25.5" x14ac:dyDescent="0.25">
      <c r="B75" s="111" t="s">
        <v>273</v>
      </c>
      <c r="C75" s="9" t="s">
        <v>16</v>
      </c>
      <c r="D75" s="10" t="s">
        <v>44</v>
      </c>
      <c r="E75" s="5">
        <f>E79*0.45+E81*0.43+E76+E93*0.15-E72*0.15-E73*0.4</f>
        <v>805.06099999999981</v>
      </c>
      <c r="F75" s="132"/>
      <c r="G75" s="59"/>
    </row>
    <row r="76" spans="2:7" ht="25.5" x14ac:dyDescent="0.25">
      <c r="B76" s="110" t="s">
        <v>274</v>
      </c>
      <c r="C76" s="9" t="s">
        <v>108</v>
      </c>
      <c r="D76" s="10" t="s">
        <v>44</v>
      </c>
      <c r="E76" s="2">
        <v>23</v>
      </c>
      <c r="F76" s="132"/>
      <c r="G76" s="59"/>
    </row>
    <row r="77" spans="2:7" x14ac:dyDescent="0.25">
      <c r="B77" s="111" t="s">
        <v>275</v>
      </c>
      <c r="C77" s="9" t="s">
        <v>18</v>
      </c>
      <c r="D77" s="10" t="s">
        <v>45</v>
      </c>
      <c r="E77" s="2">
        <f>E79+E81</f>
        <v>3398.4499999999994</v>
      </c>
      <c r="F77" s="132"/>
      <c r="G77" s="59"/>
    </row>
    <row r="78" spans="2:7" ht="16.5" x14ac:dyDescent="0.25">
      <c r="B78" s="109" t="s">
        <v>172</v>
      </c>
      <c r="C78" s="18" t="s">
        <v>19</v>
      </c>
      <c r="D78" s="42"/>
      <c r="E78" s="43"/>
      <c r="F78" s="31"/>
      <c r="G78" s="60"/>
    </row>
    <row r="79" spans="2:7" ht="25.5" x14ac:dyDescent="0.25">
      <c r="B79" s="111" t="s">
        <v>276</v>
      </c>
      <c r="C79" s="11" t="s">
        <v>135</v>
      </c>
      <c r="D79" s="1" t="s">
        <v>45</v>
      </c>
      <c r="E79" s="2">
        <f>E83*1.15</f>
        <v>3352.2499999999995</v>
      </c>
      <c r="F79" s="132"/>
      <c r="G79" s="59"/>
    </row>
    <row r="80" spans="2:7" ht="38.25" x14ac:dyDescent="0.25">
      <c r="B80" s="111" t="s">
        <v>277</v>
      </c>
      <c r="C80" s="11" t="s">
        <v>125</v>
      </c>
      <c r="D80" s="1" t="s">
        <v>45</v>
      </c>
      <c r="E80" s="2">
        <f>E84*1.05</f>
        <v>44.1</v>
      </c>
      <c r="F80" s="132"/>
      <c r="G80" s="59"/>
    </row>
    <row r="81" spans="2:7" ht="25.5" x14ac:dyDescent="0.25">
      <c r="B81" s="111" t="s">
        <v>278</v>
      </c>
      <c r="C81" s="11" t="s">
        <v>22</v>
      </c>
      <c r="D81" s="1" t="s">
        <v>45</v>
      </c>
      <c r="E81" s="2">
        <f>E84*1.1</f>
        <v>46.2</v>
      </c>
      <c r="F81" s="132"/>
      <c r="G81" s="59"/>
    </row>
    <row r="82" spans="2:7" ht="16.5" x14ac:dyDescent="0.25">
      <c r="B82" s="109" t="s">
        <v>173</v>
      </c>
      <c r="C82" s="18" t="s">
        <v>24</v>
      </c>
      <c r="D82" s="42"/>
      <c r="E82" s="43"/>
      <c r="F82" s="31"/>
      <c r="G82" s="60"/>
    </row>
    <row r="83" spans="2:7" ht="25.5" x14ac:dyDescent="0.25">
      <c r="B83" s="110" t="s">
        <v>279</v>
      </c>
      <c r="C83" s="41" t="s">
        <v>115</v>
      </c>
      <c r="D83" s="15" t="s">
        <v>45</v>
      </c>
      <c r="E83" s="2">
        <v>2915</v>
      </c>
      <c r="F83" s="132"/>
      <c r="G83" s="59"/>
    </row>
    <row r="84" spans="2:7" ht="25.5" x14ac:dyDescent="0.25">
      <c r="B84" s="110" t="s">
        <v>280</v>
      </c>
      <c r="C84" s="12" t="s">
        <v>132</v>
      </c>
      <c r="D84" s="1" t="s">
        <v>45</v>
      </c>
      <c r="E84" s="2">
        <v>42</v>
      </c>
      <c r="F84" s="132"/>
      <c r="G84" s="59"/>
    </row>
    <row r="85" spans="2:7" ht="16.5" x14ac:dyDescent="0.25">
      <c r="B85" s="109" t="s">
        <v>174</v>
      </c>
      <c r="C85" s="18" t="s">
        <v>27</v>
      </c>
      <c r="D85" s="42"/>
      <c r="E85" s="35"/>
      <c r="F85" s="47"/>
      <c r="G85" s="67"/>
    </row>
    <row r="86" spans="2:7" ht="25.5" x14ac:dyDescent="0.25">
      <c r="B86" s="110" t="s">
        <v>281</v>
      </c>
      <c r="C86" s="7" t="s">
        <v>28</v>
      </c>
      <c r="D86" s="1" t="s">
        <v>29</v>
      </c>
      <c r="E86" s="16">
        <v>39.5</v>
      </c>
      <c r="F86" s="132"/>
      <c r="G86" s="66"/>
    </row>
    <row r="87" spans="2:7" ht="16.5" x14ac:dyDescent="0.25">
      <c r="B87" s="109" t="s">
        <v>175</v>
      </c>
      <c r="C87" s="18" t="s">
        <v>30</v>
      </c>
      <c r="D87" s="42"/>
      <c r="E87" s="43"/>
      <c r="F87" s="31"/>
      <c r="G87" s="60"/>
    </row>
    <row r="88" spans="2:7" x14ac:dyDescent="0.25">
      <c r="B88" s="110" t="s">
        <v>282</v>
      </c>
      <c r="C88" s="9" t="s">
        <v>31</v>
      </c>
      <c r="D88" s="10" t="s">
        <v>32</v>
      </c>
      <c r="E88" s="2">
        <v>6</v>
      </c>
      <c r="F88" s="132"/>
      <c r="G88" s="59"/>
    </row>
    <row r="89" spans="2:7" ht="27.75" x14ac:dyDescent="0.25">
      <c r="B89" s="110" t="s">
        <v>283</v>
      </c>
      <c r="C89" s="9" t="s">
        <v>46</v>
      </c>
      <c r="D89" s="10" t="s">
        <v>32</v>
      </c>
      <c r="E89" s="2">
        <v>6</v>
      </c>
      <c r="F89" s="132"/>
      <c r="G89" s="59"/>
    </row>
    <row r="90" spans="2:7" x14ac:dyDescent="0.25">
      <c r="B90" s="110" t="s">
        <v>284</v>
      </c>
      <c r="C90" s="8" t="s">
        <v>33</v>
      </c>
      <c r="D90" s="1" t="s">
        <v>34</v>
      </c>
      <c r="E90" s="2">
        <v>1</v>
      </c>
      <c r="F90" s="132"/>
      <c r="G90" s="59"/>
    </row>
    <row r="91" spans="2:7" x14ac:dyDescent="0.25">
      <c r="B91" s="110" t="s">
        <v>285</v>
      </c>
      <c r="C91" s="8" t="s">
        <v>179</v>
      </c>
      <c r="D91" s="10" t="s">
        <v>32</v>
      </c>
      <c r="E91" s="2">
        <v>5</v>
      </c>
      <c r="F91" s="132"/>
      <c r="G91" s="59"/>
    </row>
    <row r="92" spans="2:7" ht="16.5" x14ac:dyDescent="0.25">
      <c r="B92" s="113" t="s">
        <v>176</v>
      </c>
      <c r="C92" s="18" t="s">
        <v>35</v>
      </c>
      <c r="D92" s="42"/>
      <c r="E92" s="43"/>
      <c r="F92" s="31"/>
      <c r="G92" s="60"/>
    </row>
    <row r="93" spans="2:7" x14ac:dyDescent="0.25">
      <c r="B93" s="111" t="s">
        <v>286</v>
      </c>
      <c r="C93" s="11" t="s">
        <v>110</v>
      </c>
      <c r="D93" s="15" t="s">
        <v>45</v>
      </c>
      <c r="E93" s="5">
        <v>643</v>
      </c>
      <c r="F93" s="132"/>
      <c r="G93" s="59"/>
    </row>
    <row r="94" spans="2:7" ht="25.5" x14ac:dyDescent="0.25">
      <c r="B94" s="111" t="s">
        <v>287</v>
      </c>
      <c r="C94" s="8" t="s">
        <v>111</v>
      </c>
      <c r="D94" s="10" t="s">
        <v>45</v>
      </c>
      <c r="E94" s="5">
        <f>782</f>
        <v>782</v>
      </c>
      <c r="F94" s="132"/>
      <c r="G94" s="59"/>
    </row>
    <row r="95" spans="2:7" ht="16.5" x14ac:dyDescent="0.25">
      <c r="B95" s="113" t="s">
        <v>182</v>
      </c>
      <c r="C95" s="25" t="s">
        <v>112</v>
      </c>
      <c r="D95" s="42"/>
      <c r="E95" s="43"/>
      <c r="F95" s="31"/>
      <c r="G95" s="60"/>
    </row>
    <row r="96" spans="2:7" x14ac:dyDescent="0.25">
      <c r="B96" s="110" t="s">
        <v>288</v>
      </c>
      <c r="C96" s="11" t="s">
        <v>126</v>
      </c>
      <c r="D96" s="1" t="s">
        <v>29</v>
      </c>
      <c r="E96" s="5">
        <f>7*4.5</f>
        <v>31.5</v>
      </c>
      <c r="F96" s="132"/>
      <c r="G96" s="59"/>
    </row>
    <row r="97" spans="2:7" ht="25.5" x14ac:dyDescent="0.25">
      <c r="B97" s="110" t="s">
        <v>289</v>
      </c>
      <c r="C97" s="11" t="s">
        <v>180</v>
      </c>
      <c r="D97" s="1" t="s">
        <v>34</v>
      </c>
      <c r="E97" s="5">
        <v>1</v>
      </c>
      <c r="F97" s="132"/>
      <c r="G97" s="59"/>
    </row>
    <row r="98" spans="2:7" ht="25.5" x14ac:dyDescent="0.25">
      <c r="B98" s="110" t="s">
        <v>290</v>
      </c>
      <c r="C98" s="11" t="s">
        <v>168</v>
      </c>
      <c r="D98" s="1" t="s">
        <v>169</v>
      </c>
      <c r="E98" s="5">
        <v>1</v>
      </c>
      <c r="F98" s="132"/>
      <c r="G98" s="59"/>
    </row>
    <row r="99" spans="2:7" ht="15.75" thickBot="1" x14ac:dyDescent="0.3">
      <c r="B99" s="110" t="s">
        <v>507</v>
      </c>
      <c r="C99" s="11" t="s">
        <v>508</v>
      </c>
      <c r="D99" s="1" t="s">
        <v>34</v>
      </c>
      <c r="E99" s="5">
        <v>2</v>
      </c>
      <c r="F99" s="132"/>
      <c r="G99" s="59"/>
    </row>
    <row r="100" spans="2:7" ht="37.15" customHeight="1" thickBot="1" x14ac:dyDescent="0.3">
      <c r="B100" s="214" t="s">
        <v>165</v>
      </c>
      <c r="C100" s="215"/>
      <c r="D100" s="215"/>
      <c r="E100" s="215"/>
      <c r="F100" s="216"/>
      <c r="G100" s="90"/>
    </row>
    <row r="101" spans="2:7" ht="15.75" x14ac:dyDescent="0.25">
      <c r="B101" s="243" t="s">
        <v>183</v>
      </c>
      <c r="C101" s="244"/>
      <c r="D101" s="244"/>
      <c r="E101" s="244"/>
      <c r="F101" s="244"/>
      <c r="G101" s="245"/>
    </row>
    <row r="102" spans="2:7" ht="16.5" thickBot="1" x14ac:dyDescent="0.3">
      <c r="B102" s="112" t="s">
        <v>158</v>
      </c>
      <c r="C102" s="249" t="s">
        <v>184</v>
      </c>
      <c r="D102" s="250"/>
      <c r="E102" s="250"/>
      <c r="F102" s="250"/>
      <c r="G102" s="251"/>
    </row>
    <row r="103" spans="2:7" ht="33" x14ac:dyDescent="0.25">
      <c r="B103" s="108" t="s">
        <v>0</v>
      </c>
      <c r="C103" s="61" t="s">
        <v>1</v>
      </c>
      <c r="D103" s="61" t="s">
        <v>2</v>
      </c>
      <c r="E103" s="74" t="s">
        <v>3</v>
      </c>
      <c r="F103" s="75" t="s">
        <v>4</v>
      </c>
      <c r="G103" s="76" t="s">
        <v>5</v>
      </c>
    </row>
    <row r="104" spans="2:7" ht="16.5" x14ac:dyDescent="0.25">
      <c r="B104" s="109" t="s">
        <v>225</v>
      </c>
      <c r="C104" s="18" t="s">
        <v>6</v>
      </c>
      <c r="D104" s="31"/>
      <c r="E104" s="31"/>
      <c r="F104" s="31"/>
      <c r="G104" s="60"/>
    </row>
    <row r="105" spans="2:7" ht="38.25" x14ac:dyDescent="0.25">
      <c r="B105" s="110" t="s">
        <v>291</v>
      </c>
      <c r="C105" s="11" t="s">
        <v>7</v>
      </c>
      <c r="D105" s="1" t="s">
        <v>8</v>
      </c>
      <c r="E105" s="50">
        <v>0.54200000000000004</v>
      </c>
      <c r="F105" s="132"/>
      <c r="G105" s="59"/>
    </row>
    <row r="106" spans="2:7" x14ac:dyDescent="0.25">
      <c r="B106" s="110" t="s">
        <v>292</v>
      </c>
      <c r="C106" s="11" t="s">
        <v>104</v>
      </c>
      <c r="D106" s="1" t="s">
        <v>105</v>
      </c>
      <c r="E106" s="50">
        <f>(200*1+100*1.5)/1000</f>
        <v>0.35</v>
      </c>
      <c r="F106" s="132"/>
      <c r="G106" s="59"/>
    </row>
    <row r="107" spans="2:7" x14ac:dyDescent="0.25">
      <c r="B107" s="110" t="s">
        <v>293</v>
      </c>
      <c r="C107" s="3" t="s">
        <v>9</v>
      </c>
      <c r="D107" s="14" t="s">
        <v>107</v>
      </c>
      <c r="E107" s="5">
        <f>E121+E122+E123+E129-E108</f>
        <v>1180</v>
      </c>
      <c r="F107" s="132"/>
      <c r="G107" s="59"/>
    </row>
    <row r="108" spans="2:7" ht="25.5" x14ac:dyDescent="0.25">
      <c r="B108" s="110" t="s">
        <v>294</v>
      </c>
      <c r="C108" s="6" t="s">
        <v>417</v>
      </c>
      <c r="D108" s="15" t="s">
        <v>45</v>
      </c>
      <c r="E108" s="5">
        <v>2178</v>
      </c>
      <c r="F108" s="132"/>
      <c r="G108" s="59"/>
    </row>
    <row r="109" spans="2:7" ht="25.5" x14ac:dyDescent="0.25">
      <c r="B109" s="110" t="s">
        <v>295</v>
      </c>
      <c r="C109" s="26" t="s">
        <v>63</v>
      </c>
      <c r="D109" s="15" t="s">
        <v>32</v>
      </c>
      <c r="E109" s="2">
        <v>2</v>
      </c>
      <c r="F109" s="132"/>
      <c r="G109" s="59"/>
    </row>
    <row r="110" spans="2:7" ht="25.5" x14ac:dyDescent="0.25">
      <c r="B110" s="110" t="s">
        <v>296</v>
      </c>
      <c r="C110" s="26" t="s">
        <v>64</v>
      </c>
      <c r="D110" s="15" t="s">
        <v>32</v>
      </c>
      <c r="E110" s="2">
        <v>4</v>
      </c>
      <c r="F110" s="132"/>
      <c r="G110" s="59"/>
    </row>
    <row r="111" spans="2:7" ht="16.5" x14ac:dyDescent="0.25">
      <c r="B111" s="109" t="s">
        <v>414</v>
      </c>
      <c r="C111" s="18" t="s">
        <v>15</v>
      </c>
      <c r="D111" s="42"/>
      <c r="E111" s="43"/>
      <c r="F111" s="31"/>
      <c r="G111" s="60"/>
    </row>
    <row r="112" spans="2:7" ht="25.5" x14ac:dyDescent="0.25">
      <c r="B112" s="111" t="s">
        <v>420</v>
      </c>
      <c r="C112" s="9" t="s">
        <v>16</v>
      </c>
      <c r="D112" s="10" t="s">
        <v>44</v>
      </c>
      <c r="E112" s="13">
        <f>E116*0.45+E118*0.43+E119*0.25+E113-E107*0.15-E108*0.2</f>
        <v>723.62900000000002</v>
      </c>
      <c r="F112" s="132"/>
      <c r="G112" s="59"/>
    </row>
    <row r="113" spans="2:7" ht="25.5" x14ac:dyDescent="0.25">
      <c r="B113" s="111" t="s">
        <v>421</v>
      </c>
      <c r="C113" s="9" t="s">
        <v>108</v>
      </c>
      <c r="D113" s="10" t="s">
        <v>44</v>
      </c>
      <c r="E113" s="2">
        <v>84</v>
      </c>
      <c r="F113" s="132"/>
      <c r="G113" s="59"/>
    </row>
    <row r="114" spans="2:7" x14ac:dyDescent="0.25">
      <c r="B114" s="111" t="s">
        <v>422</v>
      </c>
      <c r="C114" s="9" t="s">
        <v>18</v>
      </c>
      <c r="D114" s="10" t="s">
        <v>45</v>
      </c>
      <c r="E114" s="2">
        <f>E116+E118+E119</f>
        <v>2819.3</v>
      </c>
      <c r="F114" s="132"/>
      <c r="G114" s="59"/>
    </row>
    <row r="115" spans="2:7" ht="16.5" x14ac:dyDescent="0.25">
      <c r="B115" s="109" t="s">
        <v>224</v>
      </c>
      <c r="C115" s="18" t="s">
        <v>19</v>
      </c>
      <c r="D115" s="42"/>
      <c r="E115" s="43"/>
      <c r="F115" s="31"/>
      <c r="G115" s="60"/>
    </row>
    <row r="116" spans="2:7" ht="25.5" x14ac:dyDescent="0.25">
      <c r="B116" s="111" t="s">
        <v>423</v>
      </c>
      <c r="C116" s="11" t="s">
        <v>416</v>
      </c>
      <c r="D116" s="1" t="s">
        <v>45</v>
      </c>
      <c r="E116" s="2">
        <f>E121*1.1</f>
        <v>2659.8</v>
      </c>
      <c r="F116" s="132"/>
      <c r="G116" s="59"/>
    </row>
    <row r="117" spans="2:7" ht="38.25" x14ac:dyDescent="0.25">
      <c r="B117" s="111" t="s">
        <v>424</v>
      </c>
      <c r="C117" s="11" t="s">
        <v>125</v>
      </c>
      <c r="D117" s="1" t="s">
        <v>45</v>
      </c>
      <c r="E117" s="2">
        <f>E122</f>
        <v>78</v>
      </c>
      <c r="F117" s="132"/>
      <c r="G117" s="59"/>
    </row>
    <row r="118" spans="2:7" ht="25.5" x14ac:dyDescent="0.25">
      <c r="B118" s="111" t="s">
        <v>425</v>
      </c>
      <c r="C118" s="11" t="s">
        <v>22</v>
      </c>
      <c r="D118" s="1" t="s">
        <v>45</v>
      </c>
      <c r="E118" s="2">
        <f>E122*1.1</f>
        <v>85.800000000000011</v>
      </c>
      <c r="F118" s="132"/>
      <c r="G118" s="59"/>
    </row>
    <row r="119" spans="2:7" ht="25.5" x14ac:dyDescent="0.25">
      <c r="B119" s="111" t="s">
        <v>426</v>
      </c>
      <c r="C119" s="11" t="s">
        <v>415</v>
      </c>
      <c r="D119" s="1" t="s">
        <v>45</v>
      </c>
      <c r="E119" s="2">
        <f>E123*1.1</f>
        <v>73.7</v>
      </c>
      <c r="F119" s="132"/>
      <c r="G119" s="59"/>
    </row>
    <row r="120" spans="2:7" ht="16.5" x14ac:dyDescent="0.25">
      <c r="B120" s="109" t="s">
        <v>223</v>
      </c>
      <c r="C120" s="18" t="s">
        <v>24</v>
      </c>
      <c r="D120" s="42"/>
      <c r="E120" s="43"/>
      <c r="F120" s="31"/>
      <c r="G120" s="60"/>
    </row>
    <row r="121" spans="2:7" ht="38.25" x14ac:dyDescent="0.25">
      <c r="B121" s="110" t="s">
        <v>427</v>
      </c>
      <c r="C121" s="41" t="s">
        <v>413</v>
      </c>
      <c r="D121" s="15" t="s">
        <v>45</v>
      </c>
      <c r="E121" s="2">
        <v>2418</v>
      </c>
      <c r="F121" s="132"/>
      <c r="G121" s="59"/>
    </row>
    <row r="122" spans="2:7" ht="25.5" x14ac:dyDescent="0.25">
      <c r="B122" s="110" t="s">
        <v>428</v>
      </c>
      <c r="C122" s="12" t="s">
        <v>411</v>
      </c>
      <c r="D122" s="1" t="s">
        <v>45</v>
      </c>
      <c r="E122" s="2">
        <v>78</v>
      </c>
      <c r="F122" s="132"/>
      <c r="G122" s="59"/>
    </row>
    <row r="123" spans="2:7" ht="38.25" x14ac:dyDescent="0.25">
      <c r="B123" s="110" t="s">
        <v>429</v>
      </c>
      <c r="C123" s="41" t="s">
        <v>412</v>
      </c>
      <c r="D123" s="15" t="s">
        <v>45</v>
      </c>
      <c r="E123" s="2">
        <v>67</v>
      </c>
      <c r="F123" s="132"/>
      <c r="G123" s="59"/>
    </row>
    <row r="124" spans="2:7" ht="16.5" x14ac:dyDescent="0.25">
      <c r="B124" s="109" t="s">
        <v>222</v>
      </c>
      <c r="C124" s="18" t="s">
        <v>30</v>
      </c>
      <c r="D124" s="42"/>
      <c r="E124" s="43"/>
      <c r="F124" s="31"/>
      <c r="G124" s="60"/>
    </row>
    <row r="125" spans="2:7" x14ac:dyDescent="0.25">
      <c r="B125" s="110" t="s">
        <v>430</v>
      </c>
      <c r="C125" s="9" t="s">
        <v>31</v>
      </c>
      <c r="D125" s="10" t="s">
        <v>32</v>
      </c>
      <c r="E125" s="2">
        <v>5</v>
      </c>
      <c r="F125" s="132"/>
      <c r="G125" s="59"/>
    </row>
    <row r="126" spans="2:7" ht="27.75" x14ac:dyDescent="0.25">
      <c r="B126" s="110" t="s">
        <v>431</v>
      </c>
      <c r="C126" s="9" t="s">
        <v>46</v>
      </c>
      <c r="D126" s="10" t="s">
        <v>32</v>
      </c>
      <c r="E126" s="2">
        <v>7</v>
      </c>
      <c r="F126" s="132"/>
      <c r="G126" s="59"/>
    </row>
    <row r="127" spans="2:7" x14ac:dyDescent="0.25">
      <c r="B127" s="110" t="s">
        <v>432</v>
      </c>
      <c r="C127" s="8" t="s">
        <v>33</v>
      </c>
      <c r="D127" s="1" t="s">
        <v>34</v>
      </c>
      <c r="E127" s="2">
        <v>1</v>
      </c>
      <c r="F127" s="132"/>
      <c r="G127" s="59"/>
    </row>
    <row r="128" spans="2:7" ht="16.5" x14ac:dyDescent="0.25">
      <c r="B128" s="109" t="s">
        <v>221</v>
      </c>
      <c r="C128" s="18" t="s">
        <v>35</v>
      </c>
      <c r="D128" s="42"/>
      <c r="E128" s="43"/>
      <c r="F128" s="31"/>
      <c r="G128" s="60"/>
    </row>
    <row r="129" spans="2:7" x14ac:dyDescent="0.25">
      <c r="B129" s="111" t="s">
        <v>433</v>
      </c>
      <c r="C129" s="11" t="s">
        <v>110</v>
      </c>
      <c r="D129" s="15" t="s">
        <v>45</v>
      </c>
      <c r="E129" s="5">
        <f>1.5*530</f>
        <v>795</v>
      </c>
      <c r="F129" s="132"/>
      <c r="G129" s="59"/>
    </row>
    <row r="130" spans="2:7" ht="25.5" x14ac:dyDescent="0.25">
      <c r="B130" s="111" t="s">
        <v>434</v>
      </c>
      <c r="C130" s="8" t="s">
        <v>111</v>
      </c>
      <c r="D130" s="10" t="s">
        <v>45</v>
      </c>
      <c r="E130" s="5">
        <f>542*1.5</f>
        <v>813</v>
      </c>
      <c r="F130" s="132"/>
      <c r="G130" s="59"/>
    </row>
    <row r="131" spans="2:7" x14ac:dyDescent="0.25">
      <c r="B131" s="111" t="s">
        <v>435</v>
      </c>
      <c r="C131" s="8" t="s">
        <v>418</v>
      </c>
      <c r="D131" s="10" t="s">
        <v>29</v>
      </c>
      <c r="E131" s="5">
        <v>61</v>
      </c>
      <c r="F131" s="132"/>
      <c r="G131" s="59"/>
    </row>
    <row r="132" spans="2:7" ht="16.5" x14ac:dyDescent="0.25">
      <c r="B132" s="113" t="s">
        <v>220</v>
      </c>
      <c r="C132" s="25" t="s">
        <v>112</v>
      </c>
      <c r="D132" s="42"/>
      <c r="E132" s="43"/>
      <c r="F132" s="31"/>
      <c r="G132" s="60"/>
    </row>
    <row r="133" spans="2:7" x14ac:dyDescent="0.25">
      <c r="B133" s="110" t="s">
        <v>436</v>
      </c>
      <c r="C133" s="11" t="s">
        <v>419</v>
      </c>
      <c r="D133" s="1" t="s">
        <v>29</v>
      </c>
      <c r="E133" s="5">
        <v>27</v>
      </c>
      <c r="F133" s="132"/>
      <c r="G133" s="59"/>
    </row>
    <row r="134" spans="2:7" ht="26.25" thickBot="1" x14ac:dyDescent="0.3">
      <c r="B134" s="110" t="s">
        <v>437</v>
      </c>
      <c r="C134" s="11" t="s">
        <v>42</v>
      </c>
      <c r="D134" s="1" t="s">
        <v>32</v>
      </c>
      <c r="E134" s="5">
        <v>1</v>
      </c>
      <c r="F134" s="132"/>
      <c r="G134" s="59"/>
    </row>
    <row r="135" spans="2:7" ht="16.5" thickBot="1" x14ac:dyDescent="0.3">
      <c r="B135" s="214" t="s">
        <v>185</v>
      </c>
      <c r="C135" s="215"/>
      <c r="D135" s="215"/>
      <c r="E135" s="215"/>
      <c r="F135" s="216"/>
      <c r="G135" s="90"/>
    </row>
    <row r="136" spans="2:7" ht="15.75" x14ac:dyDescent="0.25">
      <c r="B136" s="243" t="s">
        <v>186</v>
      </c>
      <c r="C136" s="244"/>
      <c r="D136" s="244"/>
      <c r="E136" s="244"/>
      <c r="F136" s="244"/>
      <c r="G136" s="245"/>
    </row>
    <row r="137" spans="2:7" ht="16.5" thickBot="1" x14ac:dyDescent="0.3">
      <c r="B137" s="112" t="s">
        <v>158</v>
      </c>
      <c r="C137" s="249" t="s">
        <v>187</v>
      </c>
      <c r="D137" s="250"/>
      <c r="E137" s="250"/>
      <c r="F137" s="250"/>
      <c r="G137" s="251"/>
    </row>
    <row r="138" spans="2:7" ht="33.75" thickBot="1" x14ac:dyDescent="0.3">
      <c r="B138" s="114" t="s">
        <v>0</v>
      </c>
      <c r="C138" s="77" t="s">
        <v>1</v>
      </c>
      <c r="D138" s="77" t="s">
        <v>2</v>
      </c>
      <c r="E138" s="78" t="s">
        <v>3</v>
      </c>
      <c r="F138" s="79" t="s">
        <v>4</v>
      </c>
      <c r="G138" s="80" t="s">
        <v>5</v>
      </c>
    </row>
    <row r="139" spans="2:7" ht="16.5" x14ac:dyDescent="0.25">
      <c r="B139" s="115" t="s">
        <v>219</v>
      </c>
      <c r="C139" s="96" t="s">
        <v>6</v>
      </c>
      <c r="D139" s="97"/>
      <c r="E139" s="97"/>
      <c r="F139" s="97"/>
      <c r="G139" s="98"/>
    </row>
    <row r="140" spans="2:7" ht="38.25" x14ac:dyDescent="0.25">
      <c r="B140" s="110" t="s">
        <v>439</v>
      </c>
      <c r="C140" s="11" t="s">
        <v>7</v>
      </c>
      <c r="D140" s="1" t="s">
        <v>8</v>
      </c>
      <c r="E140" s="50">
        <f>0.15</f>
        <v>0.15</v>
      </c>
      <c r="F140" s="132"/>
      <c r="G140" s="59"/>
    </row>
    <row r="141" spans="2:7" x14ac:dyDescent="0.25">
      <c r="B141" s="110" t="s">
        <v>440</v>
      </c>
      <c r="C141" s="11" t="s">
        <v>104</v>
      </c>
      <c r="D141" s="1" t="s">
        <v>105</v>
      </c>
      <c r="E141" s="50">
        <f>(80*5.5)/1000</f>
        <v>0.44</v>
      </c>
      <c r="F141" s="132"/>
      <c r="G141" s="59"/>
    </row>
    <row r="142" spans="2:7" x14ac:dyDescent="0.25">
      <c r="B142" s="110" t="s">
        <v>441</v>
      </c>
      <c r="C142" s="3" t="s">
        <v>438</v>
      </c>
      <c r="D142" s="15" t="s">
        <v>45</v>
      </c>
      <c r="E142" s="5">
        <f>E157+E151-E143</f>
        <v>640</v>
      </c>
      <c r="F142" s="132"/>
      <c r="G142" s="59"/>
    </row>
    <row r="143" spans="2:7" ht="25.5" x14ac:dyDescent="0.25">
      <c r="B143" s="110" t="s">
        <v>442</v>
      </c>
      <c r="C143" s="6" t="s">
        <v>188</v>
      </c>
      <c r="D143" s="15" t="s">
        <v>45</v>
      </c>
      <c r="E143" s="5">
        <v>262</v>
      </c>
      <c r="F143" s="132"/>
      <c r="G143" s="59"/>
    </row>
    <row r="144" spans="2:7" ht="16.5" x14ac:dyDescent="0.25">
      <c r="B144" s="109" t="s">
        <v>218</v>
      </c>
      <c r="C144" s="18" t="s">
        <v>15</v>
      </c>
      <c r="D144" s="42"/>
      <c r="E144" s="43"/>
      <c r="F144" s="31"/>
      <c r="G144" s="60"/>
    </row>
    <row r="145" spans="2:7" ht="25.5" x14ac:dyDescent="0.25">
      <c r="B145" s="111" t="s">
        <v>443</v>
      </c>
      <c r="C145" s="9" t="s">
        <v>16</v>
      </c>
      <c r="D145" s="10" t="s">
        <v>44</v>
      </c>
      <c r="E145" s="13">
        <f>ROUND(E149*0.45+E146-E142*0.4-E143*0.15,2)</f>
        <v>197.32</v>
      </c>
      <c r="F145" s="132"/>
      <c r="G145" s="59"/>
    </row>
    <row r="146" spans="2:7" ht="25.5" x14ac:dyDescent="0.25">
      <c r="B146" s="111" t="s">
        <v>444</v>
      </c>
      <c r="C146" s="9" t="s">
        <v>108</v>
      </c>
      <c r="D146" s="10" t="s">
        <v>44</v>
      </c>
      <c r="E146" s="51">
        <f>150*5*0.2*1.05</f>
        <v>157.5</v>
      </c>
      <c r="F146" s="132"/>
      <c r="G146" s="59"/>
    </row>
    <row r="147" spans="2:7" x14ac:dyDescent="0.25">
      <c r="B147" s="111" t="s">
        <v>445</v>
      </c>
      <c r="C147" s="9" t="s">
        <v>18</v>
      </c>
      <c r="D147" s="10" t="s">
        <v>45</v>
      </c>
      <c r="E147" s="2">
        <f>E149</f>
        <v>744.7</v>
      </c>
      <c r="F147" s="132"/>
      <c r="G147" s="59"/>
    </row>
    <row r="148" spans="2:7" ht="16.5" x14ac:dyDescent="0.25">
      <c r="B148" s="109" t="s">
        <v>217</v>
      </c>
      <c r="C148" s="18" t="s">
        <v>19</v>
      </c>
      <c r="D148" s="42"/>
      <c r="E148" s="43"/>
      <c r="F148" s="31"/>
      <c r="G148" s="60"/>
    </row>
    <row r="149" spans="2:7" ht="25.5" x14ac:dyDescent="0.25">
      <c r="B149" s="111" t="s">
        <v>446</v>
      </c>
      <c r="C149" s="11" t="s">
        <v>416</v>
      </c>
      <c r="D149" s="1" t="s">
        <v>45</v>
      </c>
      <c r="E149" s="2">
        <f>E151*1.1</f>
        <v>744.7</v>
      </c>
      <c r="F149" s="132"/>
      <c r="G149" s="59"/>
    </row>
    <row r="150" spans="2:7" ht="16.5" x14ac:dyDescent="0.25">
      <c r="B150" s="109" t="s">
        <v>217</v>
      </c>
      <c r="C150" s="18" t="s">
        <v>24</v>
      </c>
      <c r="D150" s="42"/>
      <c r="E150" s="43"/>
      <c r="F150" s="31"/>
      <c r="G150" s="60"/>
    </row>
    <row r="151" spans="2:7" ht="25.5" x14ac:dyDescent="0.25">
      <c r="B151" s="110" t="s">
        <v>447</v>
      </c>
      <c r="C151" s="41" t="s">
        <v>109</v>
      </c>
      <c r="D151" s="15" t="s">
        <v>45</v>
      </c>
      <c r="E151" s="2">
        <v>677</v>
      </c>
      <c r="F151" s="132"/>
      <c r="G151" s="59"/>
    </row>
    <row r="152" spans="2:7" ht="16.5" x14ac:dyDescent="0.25">
      <c r="B152" s="109" t="s">
        <v>216</v>
      </c>
      <c r="C152" s="18" t="s">
        <v>30</v>
      </c>
      <c r="D152" s="42"/>
      <c r="E152" s="43"/>
      <c r="F152" s="31"/>
      <c r="G152" s="60"/>
    </row>
    <row r="153" spans="2:7" x14ac:dyDescent="0.25">
      <c r="B153" s="110" t="s">
        <v>448</v>
      </c>
      <c r="C153" s="9" t="s">
        <v>31</v>
      </c>
      <c r="D153" s="10" t="s">
        <v>32</v>
      </c>
      <c r="E153" s="2">
        <v>3</v>
      </c>
      <c r="F153" s="132"/>
      <c r="G153" s="59"/>
    </row>
    <row r="154" spans="2:7" ht="27.75" x14ac:dyDescent="0.25">
      <c r="B154" s="110" t="s">
        <v>449</v>
      </c>
      <c r="C154" s="9" t="s">
        <v>46</v>
      </c>
      <c r="D154" s="10" t="s">
        <v>32</v>
      </c>
      <c r="E154" s="2">
        <v>3</v>
      </c>
      <c r="F154" s="132"/>
      <c r="G154" s="59"/>
    </row>
    <row r="155" spans="2:7" x14ac:dyDescent="0.25">
      <c r="B155" s="110" t="s">
        <v>450</v>
      </c>
      <c r="C155" s="8" t="s">
        <v>33</v>
      </c>
      <c r="D155" s="1" t="s">
        <v>34</v>
      </c>
      <c r="E155" s="2">
        <v>1</v>
      </c>
      <c r="F155" s="132"/>
      <c r="G155" s="59"/>
    </row>
    <row r="156" spans="2:7" ht="16.5" x14ac:dyDescent="0.25">
      <c r="B156" s="109" t="s">
        <v>215</v>
      </c>
      <c r="C156" s="18" t="s">
        <v>35</v>
      </c>
      <c r="D156" s="42"/>
      <c r="E156" s="43"/>
      <c r="F156" s="31"/>
      <c r="G156" s="60"/>
    </row>
    <row r="157" spans="2:7" x14ac:dyDescent="0.25">
      <c r="B157" s="111" t="s">
        <v>451</v>
      </c>
      <c r="C157" s="11" t="s">
        <v>110</v>
      </c>
      <c r="D157" s="15" t="s">
        <v>45</v>
      </c>
      <c r="E157" s="5">
        <f>1.5*150</f>
        <v>225</v>
      </c>
      <c r="F157" s="132"/>
      <c r="G157" s="59"/>
    </row>
    <row r="158" spans="2:7" ht="25.5" x14ac:dyDescent="0.25">
      <c r="B158" s="111" t="s">
        <v>452</v>
      </c>
      <c r="C158" s="8" t="s">
        <v>111</v>
      </c>
      <c r="D158" s="10" t="s">
        <v>45</v>
      </c>
      <c r="E158" s="5">
        <f>150*2*1.25</f>
        <v>375</v>
      </c>
      <c r="F158" s="132"/>
      <c r="G158" s="59"/>
    </row>
    <row r="159" spans="2:7" ht="16.5" x14ac:dyDescent="0.25">
      <c r="B159" s="113" t="s">
        <v>214</v>
      </c>
      <c r="C159" s="25" t="s">
        <v>37</v>
      </c>
      <c r="D159" s="42"/>
      <c r="E159" s="43"/>
      <c r="F159" s="99"/>
      <c r="G159" s="60"/>
    </row>
    <row r="160" spans="2:7" x14ac:dyDescent="0.25">
      <c r="B160" s="122" t="s">
        <v>453</v>
      </c>
      <c r="C160" s="8" t="s">
        <v>126</v>
      </c>
      <c r="D160" s="51" t="s">
        <v>29</v>
      </c>
      <c r="E160" s="2">
        <v>18</v>
      </c>
      <c r="F160" s="132"/>
      <c r="G160" s="59"/>
    </row>
    <row r="161" spans="2:7" ht="36" customHeight="1" thickBot="1" x14ac:dyDescent="0.3">
      <c r="B161" s="252" t="s">
        <v>189</v>
      </c>
      <c r="C161" s="253"/>
      <c r="D161" s="253"/>
      <c r="E161" s="253"/>
      <c r="F161" s="254"/>
      <c r="G161" s="94"/>
    </row>
    <row r="162" spans="2:7" ht="15.75" x14ac:dyDescent="0.25">
      <c r="B162" s="243" t="s">
        <v>190</v>
      </c>
      <c r="C162" s="244"/>
      <c r="D162" s="244"/>
      <c r="E162" s="244"/>
      <c r="F162" s="244"/>
      <c r="G162" s="245"/>
    </row>
    <row r="163" spans="2:7" ht="16.5" thickBot="1" x14ac:dyDescent="0.3">
      <c r="B163" s="112" t="s">
        <v>158</v>
      </c>
      <c r="C163" s="249" t="s">
        <v>191</v>
      </c>
      <c r="D163" s="250"/>
      <c r="E163" s="250"/>
      <c r="F163" s="250"/>
      <c r="G163" s="251"/>
    </row>
    <row r="164" spans="2:7" ht="33.75" thickBot="1" x14ac:dyDescent="0.3">
      <c r="B164" s="117" t="s">
        <v>0</v>
      </c>
      <c r="C164" s="81" t="s">
        <v>1</v>
      </c>
      <c r="D164" s="81" t="s">
        <v>2</v>
      </c>
      <c r="E164" s="82" t="s">
        <v>3</v>
      </c>
      <c r="F164" s="83" t="s">
        <v>4</v>
      </c>
      <c r="G164" s="84" t="s">
        <v>5</v>
      </c>
    </row>
    <row r="165" spans="2:7" ht="25.5" x14ac:dyDescent="0.25">
      <c r="B165" s="118" t="s">
        <v>0</v>
      </c>
      <c r="C165" s="69" t="s">
        <v>1</v>
      </c>
      <c r="D165" s="69" t="s">
        <v>2</v>
      </c>
      <c r="E165" s="70" t="s">
        <v>3</v>
      </c>
      <c r="F165" s="71" t="s">
        <v>4</v>
      </c>
      <c r="G165" s="72" t="s">
        <v>5</v>
      </c>
    </row>
    <row r="166" spans="2:7" ht="16.5" x14ac:dyDescent="0.25">
      <c r="B166" s="109" t="s">
        <v>213</v>
      </c>
      <c r="C166" s="18" t="s">
        <v>6</v>
      </c>
      <c r="D166" s="31"/>
      <c r="E166" s="31"/>
      <c r="F166" s="31"/>
      <c r="G166" s="60"/>
    </row>
    <row r="167" spans="2:7" ht="38.25" x14ac:dyDescent="0.25">
      <c r="B167" s="110" t="s">
        <v>542</v>
      </c>
      <c r="C167" s="11" t="s">
        <v>7</v>
      </c>
      <c r="D167" s="1" t="s">
        <v>8</v>
      </c>
      <c r="E167" s="50">
        <v>0.78200000000000003</v>
      </c>
      <c r="F167" s="132"/>
      <c r="G167" s="59"/>
    </row>
    <row r="168" spans="2:7" ht="25.5" x14ac:dyDescent="0.25">
      <c r="B168" s="110" t="s">
        <v>543</v>
      </c>
      <c r="C168" s="3" t="s">
        <v>504</v>
      </c>
      <c r="D168" s="14" t="s">
        <v>107</v>
      </c>
      <c r="E168" s="5">
        <f>E180+E188-E169</f>
        <v>4733.3900000000003</v>
      </c>
      <c r="F168" s="132"/>
      <c r="G168" s="59"/>
    </row>
    <row r="169" spans="2:7" ht="25.5" x14ac:dyDescent="0.25">
      <c r="B169" s="110" t="s">
        <v>545</v>
      </c>
      <c r="C169" s="6" t="s">
        <v>123</v>
      </c>
      <c r="D169" s="15" t="s">
        <v>45</v>
      </c>
      <c r="E169" s="5">
        <f>250*3.3</f>
        <v>825</v>
      </c>
      <c r="F169" s="132"/>
      <c r="G169" s="59"/>
    </row>
    <row r="170" spans="2:7" x14ac:dyDescent="0.25">
      <c r="B170" s="110" t="s">
        <v>546</v>
      </c>
      <c r="C170" s="11" t="s">
        <v>104</v>
      </c>
      <c r="D170" s="1" t="s">
        <v>105</v>
      </c>
      <c r="E170" s="50">
        <f>145/1000</f>
        <v>0.14499999999999999</v>
      </c>
      <c r="F170" s="132"/>
      <c r="G170" s="59"/>
    </row>
    <row r="171" spans="2:7" ht="38.25" x14ac:dyDescent="0.25">
      <c r="B171" s="110" t="s">
        <v>547</v>
      </c>
      <c r="C171" s="57" t="s">
        <v>166</v>
      </c>
      <c r="D171" s="58" t="s">
        <v>32</v>
      </c>
      <c r="E171" s="68">
        <v>21</v>
      </c>
      <c r="F171" s="132"/>
      <c r="G171" s="59"/>
    </row>
    <row r="172" spans="2:7" ht="38.25" x14ac:dyDescent="0.25">
      <c r="B172" s="110" t="s">
        <v>548</v>
      </c>
      <c r="C172" s="57" t="s">
        <v>167</v>
      </c>
      <c r="D172" s="58" t="s">
        <v>32</v>
      </c>
      <c r="E172" s="68">
        <v>9</v>
      </c>
      <c r="F172" s="132"/>
      <c r="G172" s="59"/>
    </row>
    <row r="173" spans="2:7" ht="16.5" x14ac:dyDescent="0.25">
      <c r="B173" s="109" t="s">
        <v>212</v>
      </c>
      <c r="C173" s="18" t="s">
        <v>15</v>
      </c>
      <c r="D173" s="42"/>
      <c r="E173" s="43"/>
      <c r="F173" s="31"/>
      <c r="G173" s="60"/>
    </row>
    <row r="174" spans="2:7" ht="25.5" x14ac:dyDescent="0.25">
      <c r="B174" s="111" t="s">
        <v>549</v>
      </c>
      <c r="C174" s="9" t="s">
        <v>16</v>
      </c>
      <c r="D174" s="10" t="s">
        <v>44</v>
      </c>
      <c r="E174" s="5">
        <f>ROUND(E178*0.45+E175-E168*0.3-E169*0.2,2)</f>
        <v>1174.8599999999999</v>
      </c>
      <c r="F174" s="132"/>
      <c r="G174" s="59"/>
    </row>
    <row r="175" spans="2:7" ht="25.5" x14ac:dyDescent="0.25">
      <c r="B175" s="110" t="s">
        <v>550</v>
      </c>
      <c r="C175" s="9" t="s">
        <v>505</v>
      </c>
      <c r="D175" s="10" t="s">
        <v>44</v>
      </c>
      <c r="E175" s="2">
        <f>40*6*5.5*0.4</f>
        <v>528</v>
      </c>
      <c r="F175" s="132"/>
      <c r="G175" s="59"/>
    </row>
    <row r="176" spans="2:7" x14ac:dyDescent="0.25">
      <c r="B176" s="110" t="s">
        <v>551</v>
      </c>
      <c r="C176" s="9" t="s">
        <v>18</v>
      </c>
      <c r="D176" s="10" t="s">
        <v>45</v>
      </c>
      <c r="E176" s="2">
        <f>E178</f>
        <v>4959.7350000000006</v>
      </c>
      <c r="F176" s="132"/>
      <c r="G176" s="59"/>
    </row>
    <row r="177" spans="2:7" ht="16.5" x14ac:dyDescent="0.25">
      <c r="B177" s="109" t="s">
        <v>211</v>
      </c>
      <c r="C177" s="18" t="s">
        <v>19</v>
      </c>
      <c r="D177" s="42"/>
      <c r="E177" s="43"/>
      <c r="F177" s="31"/>
      <c r="G177" s="60"/>
    </row>
    <row r="178" spans="2:7" ht="25.5" x14ac:dyDescent="0.25">
      <c r="B178" s="111" t="s">
        <v>552</v>
      </c>
      <c r="C178" s="11" t="s">
        <v>416</v>
      </c>
      <c r="D178" s="1" t="s">
        <v>45</v>
      </c>
      <c r="E178" s="2">
        <f>E180*1.1</f>
        <v>4959.7350000000006</v>
      </c>
      <c r="F178" s="132"/>
      <c r="G178" s="59"/>
    </row>
    <row r="179" spans="2:7" ht="16.5" x14ac:dyDescent="0.25">
      <c r="B179" s="109" t="s">
        <v>211</v>
      </c>
      <c r="C179" s="18" t="s">
        <v>24</v>
      </c>
      <c r="D179" s="42"/>
      <c r="E179" s="43"/>
      <c r="F179" s="31"/>
      <c r="G179" s="60"/>
    </row>
    <row r="180" spans="2:7" ht="25.5" x14ac:dyDescent="0.25">
      <c r="B180" s="110" t="s">
        <v>553</v>
      </c>
      <c r="C180" s="41" t="s">
        <v>109</v>
      </c>
      <c r="D180" s="15" t="s">
        <v>45</v>
      </c>
      <c r="E180" s="2">
        <v>4508.8500000000004</v>
      </c>
      <c r="F180" s="132"/>
      <c r="G180" s="59"/>
    </row>
    <row r="181" spans="2:7" ht="16.5" x14ac:dyDescent="0.25">
      <c r="B181" s="109" t="s">
        <v>73</v>
      </c>
      <c r="C181" s="18" t="s">
        <v>27</v>
      </c>
      <c r="D181" s="22"/>
      <c r="E181" s="23"/>
      <c r="F181" s="37"/>
      <c r="G181" s="131"/>
    </row>
    <row r="182" spans="2:7" ht="25.5" x14ac:dyDescent="0.25">
      <c r="B182" s="110" t="s">
        <v>554</v>
      </c>
      <c r="C182" s="7" t="s">
        <v>28</v>
      </c>
      <c r="D182" s="1" t="s">
        <v>29</v>
      </c>
      <c r="E182" s="5">
        <v>322.14999999999998</v>
      </c>
      <c r="F182" s="132"/>
      <c r="G182" s="30"/>
    </row>
    <row r="183" spans="2:7" ht="16.5" x14ac:dyDescent="0.25">
      <c r="B183" s="109" t="s">
        <v>210</v>
      </c>
      <c r="C183" s="18" t="s">
        <v>30</v>
      </c>
      <c r="D183" s="42"/>
      <c r="E183" s="43"/>
      <c r="F183" s="31"/>
      <c r="G183" s="60"/>
    </row>
    <row r="184" spans="2:7" x14ac:dyDescent="0.25">
      <c r="B184" s="110" t="s">
        <v>555</v>
      </c>
      <c r="C184" s="9" t="s">
        <v>31</v>
      </c>
      <c r="D184" s="10" t="s">
        <v>32</v>
      </c>
      <c r="E184" s="2">
        <v>18</v>
      </c>
      <c r="F184" s="132"/>
      <c r="G184" s="59"/>
    </row>
    <row r="185" spans="2:7" ht="27.75" x14ac:dyDescent="0.25">
      <c r="B185" s="110" t="s">
        <v>556</v>
      </c>
      <c r="C185" s="9" t="s">
        <v>46</v>
      </c>
      <c r="D185" s="10" t="s">
        <v>32</v>
      </c>
      <c r="E185" s="2">
        <v>18</v>
      </c>
      <c r="F185" s="132"/>
      <c r="G185" s="59"/>
    </row>
    <row r="186" spans="2:7" x14ac:dyDescent="0.25">
      <c r="B186" s="110" t="s">
        <v>557</v>
      </c>
      <c r="C186" s="8" t="s">
        <v>33</v>
      </c>
      <c r="D186" s="1" t="s">
        <v>34</v>
      </c>
      <c r="E186" s="2">
        <v>1</v>
      </c>
      <c r="F186" s="132"/>
      <c r="G186" s="59"/>
    </row>
    <row r="187" spans="2:7" ht="16.5" x14ac:dyDescent="0.25">
      <c r="B187" s="109" t="s">
        <v>209</v>
      </c>
      <c r="C187" s="18" t="s">
        <v>35</v>
      </c>
      <c r="D187" s="42"/>
      <c r="E187" s="43"/>
      <c r="F187" s="31"/>
      <c r="G187" s="60"/>
    </row>
    <row r="188" spans="2:7" x14ac:dyDescent="0.25">
      <c r="B188" s="111" t="s">
        <v>558</v>
      </c>
      <c r="C188" s="11" t="s">
        <v>110</v>
      </c>
      <c r="D188" s="15" t="s">
        <v>45</v>
      </c>
      <c r="E188" s="5">
        <v>1049.54</v>
      </c>
      <c r="F188" s="132"/>
      <c r="G188" s="59"/>
    </row>
    <row r="189" spans="2:7" ht="25.5" x14ac:dyDescent="0.25">
      <c r="B189" s="111" t="s">
        <v>559</v>
      </c>
      <c r="C189" s="8" t="s">
        <v>111</v>
      </c>
      <c r="D189" s="10" t="s">
        <v>45</v>
      </c>
      <c r="E189" s="5">
        <f>557</f>
        <v>557</v>
      </c>
      <c r="F189" s="132"/>
      <c r="G189" s="59"/>
    </row>
    <row r="190" spans="2:7" ht="16.5" x14ac:dyDescent="0.25">
      <c r="B190" s="113" t="s">
        <v>208</v>
      </c>
      <c r="C190" s="25" t="s">
        <v>112</v>
      </c>
      <c r="D190" s="42"/>
      <c r="E190" s="43"/>
      <c r="F190" s="31"/>
      <c r="G190" s="60"/>
    </row>
    <row r="191" spans="2:7" x14ac:dyDescent="0.25">
      <c r="B191" s="110" t="s">
        <v>560</v>
      </c>
      <c r="C191" s="11" t="s">
        <v>126</v>
      </c>
      <c r="D191" s="1" t="s">
        <v>29</v>
      </c>
      <c r="E191" s="5">
        <f>19*5</f>
        <v>95</v>
      </c>
      <c r="F191" s="146"/>
      <c r="G191" s="59"/>
    </row>
    <row r="192" spans="2:7" ht="39" thickBot="1" x14ac:dyDescent="0.3">
      <c r="B192" s="160" t="s">
        <v>561</v>
      </c>
      <c r="C192" s="161" t="s">
        <v>544</v>
      </c>
      <c r="D192" s="162" t="s">
        <v>29</v>
      </c>
      <c r="E192" s="163">
        <v>168.76</v>
      </c>
      <c r="F192" s="164"/>
      <c r="G192" s="126"/>
    </row>
    <row r="193" spans="2:7" ht="37.15" customHeight="1" thickBot="1" x14ac:dyDescent="0.3">
      <c r="B193" s="214" t="s">
        <v>192</v>
      </c>
      <c r="C193" s="215"/>
      <c r="D193" s="215"/>
      <c r="E193" s="215"/>
      <c r="F193" s="216"/>
      <c r="G193" s="90"/>
    </row>
    <row r="194" spans="2:7" ht="15.75" x14ac:dyDescent="0.25">
      <c r="B194" s="226" t="s">
        <v>103</v>
      </c>
      <c r="C194" s="227"/>
      <c r="D194" s="227"/>
      <c r="E194" s="227"/>
      <c r="F194" s="227"/>
      <c r="G194" s="228"/>
    </row>
    <row r="195" spans="2:7" ht="17.25" thickBot="1" x14ac:dyDescent="0.3">
      <c r="B195" s="119" t="s">
        <v>158</v>
      </c>
      <c r="C195" s="211" t="s">
        <v>159</v>
      </c>
      <c r="D195" s="212"/>
      <c r="E195" s="212"/>
      <c r="F195" s="212"/>
      <c r="G195" s="213"/>
    </row>
    <row r="196" spans="2:7" ht="33" x14ac:dyDescent="0.25">
      <c r="B196" s="140" t="s">
        <v>0</v>
      </c>
      <c r="C196" s="54" t="s">
        <v>1</v>
      </c>
      <c r="D196" s="54" t="s">
        <v>2</v>
      </c>
      <c r="E196" s="55" t="s">
        <v>3</v>
      </c>
      <c r="F196" s="56" t="s">
        <v>4</v>
      </c>
      <c r="G196" s="157" t="s">
        <v>5</v>
      </c>
    </row>
    <row r="197" spans="2:7" ht="16.5" x14ac:dyDescent="0.25">
      <c r="B197" s="109" t="s">
        <v>116</v>
      </c>
      <c r="C197" s="18" t="s">
        <v>6</v>
      </c>
      <c r="D197" s="31"/>
      <c r="E197" s="31"/>
      <c r="F197" s="31"/>
      <c r="G197" s="60"/>
    </row>
    <row r="198" spans="2:7" ht="38.25" x14ac:dyDescent="0.25">
      <c r="B198" s="110" t="s">
        <v>297</v>
      </c>
      <c r="C198" s="11" t="s">
        <v>7</v>
      </c>
      <c r="D198" s="1" t="s">
        <v>8</v>
      </c>
      <c r="E198" s="49">
        <v>0.30099999999999999</v>
      </c>
      <c r="F198" s="132"/>
      <c r="G198" s="59"/>
    </row>
    <row r="199" spans="2:7" x14ac:dyDescent="0.25">
      <c r="B199" s="110" t="s">
        <v>298</v>
      </c>
      <c r="C199" s="11" t="s">
        <v>104</v>
      </c>
      <c r="D199" s="1" t="s">
        <v>105</v>
      </c>
      <c r="E199" s="50">
        <v>1.4999999999999999E-2</v>
      </c>
      <c r="F199" s="132"/>
      <c r="G199" s="59"/>
    </row>
    <row r="200" spans="2:7" x14ac:dyDescent="0.25">
      <c r="B200" s="110" t="s">
        <v>299</v>
      </c>
      <c r="C200" s="3" t="s">
        <v>106</v>
      </c>
      <c r="D200" s="14" t="s">
        <v>107</v>
      </c>
      <c r="E200" s="5">
        <f>1554-E201-E202</f>
        <v>809</v>
      </c>
      <c r="F200" s="132"/>
      <c r="G200" s="59"/>
    </row>
    <row r="201" spans="2:7" ht="25.5" x14ac:dyDescent="0.25">
      <c r="B201" s="110" t="s">
        <v>300</v>
      </c>
      <c r="C201" s="6" t="s">
        <v>123</v>
      </c>
      <c r="D201" s="15" t="s">
        <v>45</v>
      </c>
      <c r="E201" s="5">
        <v>711</v>
      </c>
      <c r="F201" s="132"/>
      <c r="G201" s="59"/>
    </row>
    <row r="202" spans="2:7" ht="25.5" x14ac:dyDescent="0.25">
      <c r="B202" s="110" t="s">
        <v>301</v>
      </c>
      <c r="C202" s="6" t="s">
        <v>114</v>
      </c>
      <c r="D202" s="15" t="s">
        <v>45</v>
      </c>
      <c r="E202" s="5">
        <v>34</v>
      </c>
      <c r="F202" s="132"/>
      <c r="G202" s="59"/>
    </row>
    <row r="203" spans="2:7" ht="16.5" x14ac:dyDescent="0.25">
      <c r="B203" s="109" t="s">
        <v>117</v>
      </c>
      <c r="C203" s="18" t="s">
        <v>15</v>
      </c>
      <c r="D203" s="42"/>
      <c r="E203" s="43"/>
      <c r="F203" s="31"/>
      <c r="G203" s="60"/>
    </row>
    <row r="204" spans="2:7" ht="25.5" x14ac:dyDescent="0.25">
      <c r="B204" s="111" t="s">
        <v>302</v>
      </c>
      <c r="C204" s="9" t="s">
        <v>16</v>
      </c>
      <c r="D204" s="10" t="s">
        <v>44</v>
      </c>
      <c r="E204" s="5">
        <f>E212*0.45+E219*0.15+E213*0.43-E200*0.15-E201*0.2-E202*0.08+E205</f>
        <v>348.84669999999994</v>
      </c>
      <c r="F204" s="132"/>
      <c r="G204" s="59"/>
    </row>
    <row r="205" spans="2:7" ht="25.5" x14ac:dyDescent="0.25">
      <c r="B205" s="111" t="s">
        <v>303</v>
      </c>
      <c r="C205" s="9" t="s">
        <v>108</v>
      </c>
      <c r="D205" s="10" t="s">
        <v>44</v>
      </c>
      <c r="E205" s="51">
        <f>24.38</f>
        <v>24.38</v>
      </c>
      <c r="F205" s="132"/>
      <c r="G205" s="59"/>
    </row>
    <row r="206" spans="2:7" x14ac:dyDescent="0.25">
      <c r="B206" s="111" t="s">
        <v>304</v>
      </c>
      <c r="C206" s="9" t="s">
        <v>18</v>
      </c>
      <c r="D206" s="10" t="s">
        <v>45</v>
      </c>
      <c r="E206" s="2">
        <f>E208</f>
        <v>1218.8000000000002</v>
      </c>
      <c r="F206" s="132"/>
      <c r="G206" s="59"/>
    </row>
    <row r="207" spans="2:7" ht="16.5" x14ac:dyDescent="0.25">
      <c r="B207" s="109" t="s">
        <v>118</v>
      </c>
      <c r="C207" s="18" t="s">
        <v>19</v>
      </c>
      <c r="D207" s="34"/>
      <c r="E207" s="35"/>
      <c r="F207" s="36"/>
      <c r="G207" s="128"/>
    </row>
    <row r="208" spans="2:7" ht="15.75" x14ac:dyDescent="0.25">
      <c r="B208" s="110" t="s">
        <v>305</v>
      </c>
      <c r="C208" s="53" t="s">
        <v>124</v>
      </c>
      <c r="D208" s="52" t="s">
        <v>134</v>
      </c>
      <c r="E208" s="2">
        <f>E212*1.1</f>
        <v>1218.8000000000002</v>
      </c>
      <c r="F208" s="132"/>
      <c r="G208" s="129"/>
    </row>
    <row r="209" spans="2:7" ht="27" x14ac:dyDescent="0.25">
      <c r="B209" s="110" t="s">
        <v>306</v>
      </c>
      <c r="C209" s="53" t="s">
        <v>125</v>
      </c>
      <c r="D209" s="52" t="s">
        <v>134</v>
      </c>
      <c r="E209" s="2">
        <f>E213*1.07</f>
        <v>62.798300000000005</v>
      </c>
      <c r="F209" s="132"/>
      <c r="G209" s="129"/>
    </row>
    <row r="210" spans="2:7" ht="27" x14ac:dyDescent="0.25">
      <c r="B210" s="110" t="s">
        <v>307</v>
      </c>
      <c r="C210" s="53" t="s">
        <v>22</v>
      </c>
      <c r="D210" s="52" t="s">
        <v>134</v>
      </c>
      <c r="E210" s="2">
        <f>E213*1.1</f>
        <v>64.558999999999997</v>
      </c>
      <c r="F210" s="132"/>
      <c r="G210" s="129"/>
    </row>
    <row r="211" spans="2:7" ht="16.5" x14ac:dyDescent="0.25">
      <c r="B211" s="109" t="s">
        <v>119</v>
      </c>
      <c r="C211" s="18" t="s">
        <v>24</v>
      </c>
      <c r="D211" s="42"/>
      <c r="E211" s="43"/>
      <c r="F211" s="31"/>
      <c r="G211" s="60"/>
    </row>
    <row r="212" spans="2:7" ht="25.5" x14ac:dyDescent="0.25">
      <c r="B212" s="110" t="s">
        <v>308</v>
      </c>
      <c r="C212" s="41" t="s">
        <v>115</v>
      </c>
      <c r="D212" s="15" t="s">
        <v>45</v>
      </c>
      <c r="E212" s="2">
        <v>1108</v>
      </c>
      <c r="F212" s="132"/>
      <c r="G212" s="59"/>
    </row>
    <row r="213" spans="2:7" ht="25.5" x14ac:dyDescent="0.25">
      <c r="B213" s="110" t="s">
        <v>309</v>
      </c>
      <c r="C213" s="12" t="s">
        <v>71</v>
      </c>
      <c r="D213" s="1" t="s">
        <v>45</v>
      </c>
      <c r="E213" s="2">
        <v>58.69</v>
      </c>
      <c r="F213" s="132"/>
      <c r="G213" s="66"/>
    </row>
    <row r="214" spans="2:7" ht="16.5" x14ac:dyDescent="0.25">
      <c r="B214" s="109" t="s">
        <v>120</v>
      </c>
      <c r="C214" s="18" t="s">
        <v>30</v>
      </c>
      <c r="D214" s="42"/>
      <c r="E214" s="43"/>
      <c r="F214" s="31"/>
      <c r="G214" s="60"/>
    </row>
    <row r="215" spans="2:7" x14ac:dyDescent="0.25">
      <c r="B215" s="110" t="s">
        <v>310</v>
      </c>
      <c r="C215" s="9" t="s">
        <v>31</v>
      </c>
      <c r="D215" s="10" t="s">
        <v>32</v>
      </c>
      <c r="E215" s="2">
        <v>3</v>
      </c>
      <c r="F215" s="132"/>
      <c r="G215" s="59"/>
    </row>
    <row r="216" spans="2:7" ht="27.75" x14ac:dyDescent="0.25">
      <c r="B216" s="110" t="s">
        <v>311</v>
      </c>
      <c r="C216" s="9" t="s">
        <v>46</v>
      </c>
      <c r="D216" s="10" t="s">
        <v>32</v>
      </c>
      <c r="E216" s="2">
        <v>3</v>
      </c>
      <c r="F216" s="132"/>
      <c r="G216" s="59"/>
    </row>
    <row r="217" spans="2:7" x14ac:dyDescent="0.25">
      <c r="B217" s="110" t="s">
        <v>312</v>
      </c>
      <c r="C217" s="8" t="s">
        <v>33</v>
      </c>
      <c r="D217" s="1" t="s">
        <v>34</v>
      </c>
      <c r="E217" s="2">
        <v>1</v>
      </c>
      <c r="F217" s="132"/>
      <c r="G217" s="59"/>
    </row>
    <row r="218" spans="2:7" ht="16.5" x14ac:dyDescent="0.25">
      <c r="B218" s="109" t="s">
        <v>121</v>
      </c>
      <c r="C218" s="18" t="s">
        <v>35</v>
      </c>
      <c r="D218" s="42"/>
      <c r="E218" s="43"/>
      <c r="F218" s="31"/>
      <c r="G218" s="60"/>
    </row>
    <row r="219" spans="2:7" x14ac:dyDescent="0.25">
      <c r="B219" s="111" t="s">
        <v>313</v>
      </c>
      <c r="C219" s="11" t="s">
        <v>110</v>
      </c>
      <c r="D219" s="15" t="s">
        <v>45</v>
      </c>
      <c r="E219" s="5">
        <v>446</v>
      </c>
      <c r="F219" s="132"/>
      <c r="G219" s="59"/>
    </row>
    <row r="220" spans="2:7" ht="25.5" x14ac:dyDescent="0.25">
      <c r="B220" s="111" t="s">
        <v>314</v>
      </c>
      <c r="C220" s="8" t="s">
        <v>111</v>
      </c>
      <c r="D220" s="10" t="s">
        <v>45</v>
      </c>
      <c r="E220" s="5">
        <f>1554-E212-E213</f>
        <v>387.31</v>
      </c>
      <c r="F220" s="132"/>
      <c r="G220" s="59"/>
    </row>
    <row r="221" spans="2:7" ht="16.5" x14ac:dyDescent="0.25">
      <c r="B221" s="113" t="s">
        <v>122</v>
      </c>
      <c r="C221" s="25" t="s">
        <v>112</v>
      </c>
      <c r="D221" s="42"/>
      <c r="E221" s="43"/>
      <c r="F221" s="31"/>
      <c r="G221" s="60"/>
    </row>
    <row r="222" spans="2:7" x14ac:dyDescent="0.25">
      <c r="B222" s="110" t="s">
        <v>315</v>
      </c>
      <c r="C222" s="11" t="s">
        <v>126</v>
      </c>
      <c r="D222" s="1" t="s">
        <v>29</v>
      </c>
      <c r="E222" s="5">
        <v>7</v>
      </c>
      <c r="F222" s="132"/>
      <c r="G222" s="59"/>
    </row>
    <row r="223" spans="2:7" ht="38.25" x14ac:dyDescent="0.25">
      <c r="B223" s="110" t="s">
        <v>316</v>
      </c>
      <c r="C223" s="11" t="s">
        <v>181</v>
      </c>
      <c r="D223" s="1" t="s">
        <v>34</v>
      </c>
      <c r="E223" s="16">
        <v>1</v>
      </c>
      <c r="F223" s="132"/>
      <c r="G223" s="143"/>
    </row>
    <row r="224" spans="2:7" ht="16.5" thickBot="1" x14ac:dyDescent="0.3">
      <c r="B224" s="237" t="s">
        <v>113</v>
      </c>
      <c r="C224" s="238"/>
      <c r="D224" s="238"/>
      <c r="E224" s="238"/>
      <c r="F224" s="239"/>
      <c r="G224" s="95"/>
    </row>
    <row r="225" spans="2:8" s="44" customFormat="1" ht="15.75" x14ac:dyDescent="0.25">
      <c r="B225" s="226" t="s">
        <v>193</v>
      </c>
      <c r="C225" s="227"/>
      <c r="D225" s="227"/>
      <c r="E225" s="227"/>
      <c r="F225" s="227"/>
      <c r="G225" s="228"/>
      <c r="H225" s="149"/>
    </row>
    <row r="226" spans="2:8" s="44" customFormat="1" ht="17.25" thickBot="1" x14ac:dyDescent="0.3">
      <c r="B226" s="119" t="s">
        <v>158</v>
      </c>
      <c r="C226" s="211" t="s">
        <v>194</v>
      </c>
      <c r="D226" s="212"/>
      <c r="E226" s="212"/>
      <c r="F226" s="212"/>
      <c r="G226" s="213"/>
      <c r="H226" s="149"/>
    </row>
    <row r="227" spans="2:8" s="44" customFormat="1" ht="33.75" thickBot="1" x14ac:dyDescent="0.3">
      <c r="B227" s="120" t="s">
        <v>0</v>
      </c>
      <c r="C227" s="85" t="s">
        <v>1</v>
      </c>
      <c r="D227" s="85" t="s">
        <v>2</v>
      </c>
      <c r="E227" s="86" t="s">
        <v>3</v>
      </c>
      <c r="F227" s="87" t="s">
        <v>4</v>
      </c>
      <c r="G227" s="88" t="s">
        <v>5</v>
      </c>
      <c r="H227" s="149"/>
    </row>
    <row r="228" spans="2:8" s="44" customFormat="1" ht="16.5" x14ac:dyDescent="0.25">
      <c r="B228" s="121" t="s">
        <v>207</v>
      </c>
      <c r="C228" s="100" t="s">
        <v>6</v>
      </c>
      <c r="D228" s="101"/>
      <c r="E228" s="101"/>
      <c r="F228" s="101"/>
      <c r="G228" s="102"/>
      <c r="H228" s="149"/>
    </row>
    <row r="229" spans="2:8" s="44" customFormat="1" ht="38.25" x14ac:dyDescent="0.25">
      <c r="B229" s="110" t="s">
        <v>458</v>
      </c>
      <c r="C229" s="11" t="s">
        <v>7</v>
      </c>
      <c r="D229" s="1" t="s">
        <v>8</v>
      </c>
      <c r="E229" s="50">
        <v>0.91400000000000003</v>
      </c>
      <c r="F229" s="132"/>
      <c r="G229" s="59"/>
      <c r="H229" s="149"/>
    </row>
    <row r="230" spans="2:8" s="44" customFormat="1" x14ac:dyDescent="0.25">
      <c r="B230" s="110" t="s">
        <v>459</v>
      </c>
      <c r="C230" s="11" t="s">
        <v>104</v>
      </c>
      <c r="D230" s="1" t="s">
        <v>105</v>
      </c>
      <c r="E230" s="50">
        <f>(682*1.5)/1000</f>
        <v>1.0229999999999999</v>
      </c>
      <c r="F230" s="132"/>
      <c r="G230" s="59"/>
      <c r="H230" s="149"/>
    </row>
    <row r="231" spans="2:8" s="44" customFormat="1" x14ac:dyDescent="0.25">
      <c r="B231" s="110" t="s">
        <v>460</v>
      </c>
      <c r="C231" s="3" t="s">
        <v>457</v>
      </c>
      <c r="D231" s="15" t="s">
        <v>45</v>
      </c>
      <c r="E231" s="5">
        <f>E238+E239-E232</f>
        <v>915.20000000000073</v>
      </c>
      <c r="F231" s="132"/>
      <c r="G231" s="59"/>
      <c r="H231" s="149"/>
    </row>
    <row r="232" spans="2:8" s="44" customFormat="1" ht="25.5" x14ac:dyDescent="0.25">
      <c r="B232" s="110" t="s">
        <v>461</v>
      </c>
      <c r="C232" s="6" t="s">
        <v>456</v>
      </c>
      <c r="D232" s="15" t="s">
        <v>45</v>
      </c>
      <c r="E232" s="5">
        <v>3729</v>
      </c>
      <c r="F232" s="132"/>
      <c r="G232" s="59"/>
      <c r="H232" s="149"/>
    </row>
    <row r="233" spans="2:8" s="44" customFormat="1" ht="16.5" x14ac:dyDescent="0.25">
      <c r="B233" s="109" t="s">
        <v>206</v>
      </c>
      <c r="C233" s="18" t="s">
        <v>15</v>
      </c>
      <c r="D233" s="42"/>
      <c r="E233" s="43"/>
      <c r="F233" s="31"/>
      <c r="G233" s="60"/>
      <c r="H233" s="149"/>
    </row>
    <row r="234" spans="2:8" s="44" customFormat="1" ht="25.5" x14ac:dyDescent="0.25">
      <c r="B234" s="111" t="s">
        <v>462</v>
      </c>
      <c r="C234" s="9" t="s">
        <v>16</v>
      </c>
      <c r="D234" s="10" t="s">
        <v>44</v>
      </c>
      <c r="E234" s="13">
        <f>E238*0.45+E239*0.25+E235-E231*0.25-E232*0.2</f>
        <v>1274.6299999999997</v>
      </c>
      <c r="F234" s="132"/>
      <c r="G234" s="59"/>
      <c r="H234" s="149"/>
    </row>
    <row r="235" spans="2:8" s="44" customFormat="1" ht="25.5" x14ac:dyDescent="0.25">
      <c r="B235" s="111" t="s">
        <v>463</v>
      </c>
      <c r="C235" s="9" t="s">
        <v>108</v>
      </c>
      <c r="D235" s="10" t="s">
        <v>44</v>
      </c>
      <c r="E235" s="2">
        <f>900*0.2*5*0.19</f>
        <v>171</v>
      </c>
      <c r="F235" s="132"/>
      <c r="G235" s="59"/>
      <c r="H235" s="149"/>
    </row>
    <row r="236" spans="2:8" s="44" customFormat="1" x14ac:dyDescent="0.25">
      <c r="B236" s="111" t="s">
        <v>464</v>
      </c>
      <c r="C236" s="9" t="s">
        <v>18</v>
      </c>
      <c r="D236" s="10" t="s">
        <v>45</v>
      </c>
      <c r="E236" s="2">
        <f>E238+E239</f>
        <v>4644.2000000000007</v>
      </c>
      <c r="F236" s="132"/>
      <c r="G236" s="59"/>
      <c r="H236" s="149"/>
    </row>
    <row r="237" spans="2:8" s="44" customFormat="1" ht="16.5" x14ac:dyDescent="0.25">
      <c r="B237" s="109" t="s">
        <v>465</v>
      </c>
      <c r="C237" s="18" t="s">
        <v>19</v>
      </c>
      <c r="D237" s="42"/>
      <c r="E237" s="43"/>
      <c r="F237" s="31"/>
      <c r="G237" s="60"/>
      <c r="H237" s="149"/>
    </row>
    <row r="238" spans="2:8" s="44" customFormat="1" ht="25.5" x14ac:dyDescent="0.25">
      <c r="B238" s="111" t="s">
        <v>468</v>
      </c>
      <c r="C238" s="11" t="s">
        <v>416</v>
      </c>
      <c r="D238" s="1" t="s">
        <v>45</v>
      </c>
      <c r="E238" s="2">
        <f>E241*1.1</f>
        <v>4585.9000000000005</v>
      </c>
      <c r="F238" s="132"/>
      <c r="G238" s="59"/>
      <c r="H238" s="149"/>
    </row>
    <row r="239" spans="2:8" s="44" customFormat="1" ht="25.5" x14ac:dyDescent="0.25">
      <c r="B239" s="111" t="s">
        <v>469</v>
      </c>
      <c r="C239" s="11" t="s">
        <v>415</v>
      </c>
      <c r="D239" s="1" t="s">
        <v>45</v>
      </c>
      <c r="E239" s="2">
        <f>E242*1.1</f>
        <v>58.300000000000004</v>
      </c>
      <c r="F239" s="132"/>
      <c r="G239" s="59"/>
      <c r="H239" s="149"/>
    </row>
    <row r="240" spans="2:8" s="44" customFormat="1" ht="16.5" x14ac:dyDescent="0.25">
      <c r="B240" s="109" t="s">
        <v>466</v>
      </c>
      <c r="C240" s="18" t="s">
        <v>24</v>
      </c>
      <c r="D240" s="42"/>
      <c r="E240" s="43"/>
      <c r="F240" s="31"/>
      <c r="G240" s="60"/>
      <c r="H240" s="149"/>
    </row>
    <row r="241" spans="2:14" s="44" customFormat="1" ht="25.5" x14ac:dyDescent="0.25">
      <c r="B241" s="110" t="s">
        <v>470</v>
      </c>
      <c r="C241" s="41" t="s">
        <v>115</v>
      </c>
      <c r="D241" s="15" t="s">
        <v>45</v>
      </c>
      <c r="E241" s="2">
        <v>4169</v>
      </c>
      <c r="F241" s="132"/>
      <c r="G241" s="59"/>
      <c r="H241" s="149"/>
    </row>
    <row r="242" spans="2:14" s="44" customFormat="1" ht="38.25" x14ac:dyDescent="0.25">
      <c r="B242" s="110" t="s">
        <v>471</v>
      </c>
      <c r="C242" s="41" t="s">
        <v>412</v>
      </c>
      <c r="D242" s="15" t="s">
        <v>45</v>
      </c>
      <c r="E242" s="2">
        <v>53</v>
      </c>
      <c r="F242" s="132"/>
      <c r="G242" s="59"/>
      <c r="H242" s="149"/>
    </row>
    <row r="243" spans="2:14" s="44" customFormat="1" ht="16.5" x14ac:dyDescent="0.25">
      <c r="B243" s="109" t="s">
        <v>205</v>
      </c>
      <c r="C243" s="18" t="s">
        <v>30</v>
      </c>
      <c r="D243" s="42"/>
      <c r="E243" s="43"/>
      <c r="F243" s="31"/>
      <c r="G243" s="60"/>
      <c r="H243" s="149"/>
    </row>
    <row r="244" spans="2:14" s="44" customFormat="1" x14ac:dyDescent="0.25">
      <c r="B244" s="110" t="s">
        <v>472</v>
      </c>
      <c r="C244" s="9" t="s">
        <v>31</v>
      </c>
      <c r="D244" s="10" t="s">
        <v>32</v>
      </c>
      <c r="E244" s="2">
        <v>8</v>
      </c>
      <c r="F244" s="132"/>
      <c r="G244" s="59"/>
      <c r="H244" s="149"/>
    </row>
    <row r="245" spans="2:14" s="44" customFormat="1" ht="27.75" x14ac:dyDescent="0.25">
      <c r="B245" s="110" t="s">
        <v>473</v>
      </c>
      <c r="C245" s="9" t="s">
        <v>46</v>
      </c>
      <c r="D245" s="10" t="s">
        <v>32</v>
      </c>
      <c r="E245" s="2">
        <v>8</v>
      </c>
      <c r="F245" s="132"/>
      <c r="G245" s="59"/>
      <c r="H245" s="149"/>
    </row>
    <row r="246" spans="2:14" s="44" customFormat="1" x14ac:dyDescent="0.25">
      <c r="B246" s="110" t="s">
        <v>474</v>
      </c>
      <c r="C246" s="8" t="s">
        <v>33</v>
      </c>
      <c r="D246" s="1" t="s">
        <v>34</v>
      </c>
      <c r="E246" s="2">
        <v>1</v>
      </c>
      <c r="F246" s="132"/>
      <c r="G246" s="59"/>
      <c r="H246" s="149"/>
    </row>
    <row r="247" spans="2:14" s="44" customFormat="1" ht="16.5" x14ac:dyDescent="0.25">
      <c r="B247" s="109" t="s">
        <v>204</v>
      </c>
      <c r="C247" s="18" t="s">
        <v>35</v>
      </c>
      <c r="D247" s="42"/>
      <c r="E247" s="43"/>
      <c r="F247" s="31"/>
      <c r="G247" s="60"/>
      <c r="H247" s="149"/>
    </row>
    <row r="248" spans="2:14" s="44" customFormat="1" x14ac:dyDescent="0.25">
      <c r="B248" s="111" t="s">
        <v>475</v>
      </c>
      <c r="C248" s="11" t="s">
        <v>110</v>
      </c>
      <c r="D248" s="15" t="s">
        <v>45</v>
      </c>
      <c r="E248" s="5">
        <v>1355</v>
      </c>
      <c r="F248" s="132"/>
      <c r="G248" s="59"/>
      <c r="H248" s="149"/>
    </row>
    <row r="249" spans="2:14" s="44" customFormat="1" ht="25.5" x14ac:dyDescent="0.25">
      <c r="B249" s="111" t="s">
        <v>476</v>
      </c>
      <c r="C249" s="8" t="s">
        <v>111</v>
      </c>
      <c r="D249" s="10" t="s">
        <v>45</v>
      </c>
      <c r="E249" s="5">
        <v>3515</v>
      </c>
      <c r="F249" s="132"/>
      <c r="G249" s="59"/>
      <c r="H249" s="149"/>
    </row>
    <row r="250" spans="2:14" s="44" customFormat="1" ht="25.5" x14ac:dyDescent="0.25">
      <c r="B250" s="111" t="s">
        <v>477</v>
      </c>
      <c r="C250" s="8" t="s">
        <v>454</v>
      </c>
      <c r="D250" s="1" t="s">
        <v>29</v>
      </c>
      <c r="E250" s="2">
        <v>617</v>
      </c>
      <c r="F250" s="132"/>
      <c r="G250" s="59"/>
      <c r="H250" s="149"/>
    </row>
    <row r="251" spans="2:14" s="44" customFormat="1" ht="16.5" x14ac:dyDescent="0.25">
      <c r="B251" s="113" t="s">
        <v>203</v>
      </c>
      <c r="C251" s="25" t="s">
        <v>56</v>
      </c>
      <c r="D251" s="42"/>
      <c r="E251" s="35"/>
      <c r="F251" s="99"/>
      <c r="G251" s="60"/>
      <c r="H251" s="149"/>
    </row>
    <row r="252" spans="2:14" s="44" customFormat="1" x14ac:dyDescent="0.25">
      <c r="B252" s="110" t="s">
        <v>478</v>
      </c>
      <c r="C252" s="11" t="s">
        <v>79</v>
      </c>
      <c r="D252" s="1" t="s">
        <v>29</v>
      </c>
      <c r="E252" s="2">
        <v>10</v>
      </c>
      <c r="F252" s="132"/>
      <c r="G252" s="59"/>
      <c r="H252" s="149"/>
      <c r="N252" s="144"/>
    </row>
    <row r="253" spans="2:14" s="44" customFormat="1" ht="16.5" x14ac:dyDescent="0.25">
      <c r="B253" s="113" t="s">
        <v>467</v>
      </c>
      <c r="C253" s="25" t="s">
        <v>39</v>
      </c>
      <c r="D253" s="42"/>
      <c r="E253" s="35"/>
      <c r="F253" s="31"/>
      <c r="G253" s="60"/>
      <c r="H253" s="149"/>
    </row>
    <row r="254" spans="2:14" s="44" customFormat="1" ht="38.25" x14ac:dyDescent="0.25">
      <c r="B254" s="123" t="s">
        <v>479</v>
      </c>
      <c r="C254" s="124" t="s">
        <v>455</v>
      </c>
      <c r="D254" s="125" t="s">
        <v>34</v>
      </c>
      <c r="E254" s="127">
        <v>2</v>
      </c>
      <c r="F254" s="132"/>
      <c r="G254" s="126"/>
      <c r="H254" s="149"/>
    </row>
    <row r="255" spans="2:14" s="44" customFormat="1" ht="25.5" x14ac:dyDescent="0.25">
      <c r="B255" s="110" t="s">
        <v>480</v>
      </c>
      <c r="C255" s="11" t="s">
        <v>42</v>
      </c>
      <c r="D255" s="10" t="s">
        <v>34</v>
      </c>
      <c r="E255" s="2">
        <v>1</v>
      </c>
      <c r="F255" s="132"/>
      <c r="G255" s="59"/>
      <c r="H255" s="149"/>
    </row>
    <row r="256" spans="2:14" s="44" customFormat="1" ht="36" customHeight="1" thickBot="1" x14ac:dyDescent="0.3">
      <c r="B256" s="229" t="s">
        <v>535</v>
      </c>
      <c r="C256" s="230"/>
      <c r="D256" s="230"/>
      <c r="E256" s="230"/>
      <c r="F256" s="231"/>
      <c r="G256" s="94"/>
      <c r="H256" s="149"/>
    </row>
    <row r="257" spans="2:8" s="44" customFormat="1" ht="15.75" x14ac:dyDescent="0.25">
      <c r="B257" s="226" t="s">
        <v>195</v>
      </c>
      <c r="C257" s="227"/>
      <c r="D257" s="227"/>
      <c r="E257" s="227"/>
      <c r="F257" s="227"/>
      <c r="G257" s="228"/>
      <c r="H257" s="149"/>
    </row>
    <row r="258" spans="2:8" s="44" customFormat="1" ht="17.25" thickBot="1" x14ac:dyDescent="0.3">
      <c r="B258" s="119" t="s">
        <v>158</v>
      </c>
      <c r="C258" s="211" t="s">
        <v>196</v>
      </c>
      <c r="D258" s="212"/>
      <c r="E258" s="212"/>
      <c r="F258" s="212"/>
      <c r="G258" s="213"/>
      <c r="H258" s="149"/>
    </row>
    <row r="259" spans="2:8" s="44" customFormat="1" ht="33.75" thickBot="1" x14ac:dyDescent="0.3">
      <c r="B259" s="120" t="s">
        <v>0</v>
      </c>
      <c r="C259" s="85" t="s">
        <v>1</v>
      </c>
      <c r="D259" s="85" t="s">
        <v>2</v>
      </c>
      <c r="E259" s="86" t="s">
        <v>3</v>
      </c>
      <c r="F259" s="87" t="s">
        <v>4</v>
      </c>
      <c r="G259" s="88" t="s">
        <v>5</v>
      </c>
      <c r="H259" s="149"/>
    </row>
    <row r="260" spans="2:8" s="44" customFormat="1" ht="16.5" x14ac:dyDescent="0.25">
      <c r="B260" s="121" t="s">
        <v>202</v>
      </c>
      <c r="C260" s="100" t="s">
        <v>6</v>
      </c>
      <c r="D260" s="101"/>
      <c r="E260" s="101"/>
      <c r="F260" s="101"/>
      <c r="G260" s="102"/>
      <c r="H260" s="149"/>
    </row>
    <row r="261" spans="2:8" s="44" customFormat="1" ht="38.25" x14ac:dyDescent="0.25">
      <c r="B261" s="110" t="s">
        <v>481</v>
      </c>
      <c r="C261" s="11" t="s">
        <v>7</v>
      </c>
      <c r="D261" s="1" t="s">
        <v>8</v>
      </c>
      <c r="E261" s="50">
        <f>0.534</f>
        <v>0.53400000000000003</v>
      </c>
      <c r="F261" s="132"/>
      <c r="G261" s="59"/>
      <c r="H261" s="149"/>
    </row>
    <row r="262" spans="2:8" s="44" customFormat="1" x14ac:dyDescent="0.25">
      <c r="B262" s="110" t="s">
        <v>482</v>
      </c>
      <c r="C262" s="3" t="s">
        <v>9</v>
      </c>
      <c r="D262" s="15" t="s">
        <v>45</v>
      </c>
      <c r="E262" s="5">
        <f>E269+E284-E263</f>
        <v>2758.71</v>
      </c>
      <c r="F262" s="132"/>
      <c r="G262" s="59"/>
      <c r="H262" s="149"/>
    </row>
    <row r="263" spans="2:8" s="44" customFormat="1" ht="25.5" x14ac:dyDescent="0.25">
      <c r="B263" s="110" t="s">
        <v>483</v>
      </c>
      <c r="C263" s="6" t="s">
        <v>456</v>
      </c>
      <c r="D263" s="15" t="s">
        <v>45</v>
      </c>
      <c r="E263" s="5">
        <v>1037</v>
      </c>
      <c r="F263" s="132"/>
      <c r="G263" s="59"/>
      <c r="H263" s="149"/>
    </row>
    <row r="264" spans="2:8" s="44" customFormat="1" ht="25.5" x14ac:dyDescent="0.25">
      <c r="B264" s="110" t="s">
        <v>484</v>
      </c>
      <c r="C264" s="26" t="s">
        <v>63</v>
      </c>
      <c r="D264" s="15" t="s">
        <v>32</v>
      </c>
      <c r="E264" s="2">
        <v>1</v>
      </c>
      <c r="F264" s="132"/>
      <c r="G264" s="59"/>
      <c r="H264" s="149"/>
    </row>
    <row r="265" spans="2:8" s="44" customFormat="1" ht="25.5" x14ac:dyDescent="0.25">
      <c r="B265" s="110" t="s">
        <v>485</v>
      </c>
      <c r="C265" s="26" t="s">
        <v>64</v>
      </c>
      <c r="D265" s="15" t="s">
        <v>32</v>
      </c>
      <c r="E265" s="2">
        <v>2</v>
      </c>
      <c r="F265" s="132"/>
      <c r="G265" s="59"/>
      <c r="H265" s="149"/>
    </row>
    <row r="266" spans="2:8" s="44" customFormat="1" ht="16.5" x14ac:dyDescent="0.25">
      <c r="B266" s="109" t="s">
        <v>201</v>
      </c>
      <c r="C266" s="18" t="s">
        <v>15</v>
      </c>
      <c r="D266" s="42"/>
      <c r="E266" s="43"/>
      <c r="F266" s="31"/>
      <c r="G266" s="60"/>
      <c r="H266" s="149"/>
    </row>
    <row r="267" spans="2:8" s="44" customFormat="1" ht="25.5" x14ac:dyDescent="0.25">
      <c r="B267" s="111" t="s">
        <v>486</v>
      </c>
      <c r="C267" s="9" t="s">
        <v>16</v>
      </c>
      <c r="D267" s="10" t="s">
        <v>44</v>
      </c>
      <c r="E267" s="13">
        <f>ROUND(E271*0.45+E274*0.43+E268+E273*0.25-E262*0.15-E263*0.2,2)</f>
        <v>797.12</v>
      </c>
      <c r="F267" s="132"/>
      <c r="G267" s="59"/>
      <c r="H267" s="149"/>
    </row>
    <row r="268" spans="2:8" s="44" customFormat="1" ht="25.5" x14ac:dyDescent="0.25">
      <c r="B268" s="111" t="s">
        <v>487</v>
      </c>
      <c r="C268" s="9" t="s">
        <v>108</v>
      </c>
      <c r="D268" s="10" t="s">
        <v>44</v>
      </c>
      <c r="E268" s="2">
        <v>88</v>
      </c>
      <c r="F268" s="132"/>
      <c r="G268" s="59"/>
      <c r="H268" s="149"/>
    </row>
    <row r="269" spans="2:8" s="44" customFormat="1" x14ac:dyDescent="0.25">
      <c r="B269" s="111" t="s">
        <v>488</v>
      </c>
      <c r="C269" s="9" t="s">
        <v>18</v>
      </c>
      <c r="D269" s="10" t="s">
        <v>45</v>
      </c>
      <c r="E269" s="2">
        <f>E271+E274+E273</f>
        <v>3031.71</v>
      </c>
      <c r="F269" s="132"/>
      <c r="G269" s="59"/>
      <c r="H269" s="149"/>
    </row>
    <row r="270" spans="2:8" s="44" customFormat="1" ht="16.5" x14ac:dyDescent="0.25">
      <c r="B270" s="109" t="s">
        <v>501</v>
      </c>
      <c r="C270" s="18" t="s">
        <v>19</v>
      </c>
      <c r="D270" s="34"/>
      <c r="E270" s="35"/>
      <c r="F270" s="36"/>
      <c r="G270" s="128"/>
      <c r="H270" s="149"/>
    </row>
    <row r="271" spans="2:8" s="44" customFormat="1" ht="15.75" x14ac:dyDescent="0.25">
      <c r="B271" s="110" t="s">
        <v>489</v>
      </c>
      <c r="C271" s="53" t="s">
        <v>124</v>
      </c>
      <c r="D271" s="52" t="s">
        <v>134</v>
      </c>
      <c r="E271" s="2">
        <f>E276*1.1</f>
        <v>2820.4</v>
      </c>
      <c r="F271" s="132"/>
      <c r="G271" s="59"/>
      <c r="H271" s="149"/>
    </row>
    <row r="272" spans="2:8" s="44" customFormat="1" ht="27" x14ac:dyDescent="0.25">
      <c r="B272" s="110" t="s">
        <v>490</v>
      </c>
      <c r="C272" s="53" t="s">
        <v>125</v>
      </c>
      <c r="D272" s="52" t="s">
        <v>134</v>
      </c>
      <c r="E272" s="2">
        <f>E278*1.07</f>
        <v>44.940000000000005</v>
      </c>
      <c r="F272" s="132"/>
      <c r="G272" s="129"/>
      <c r="H272" s="149"/>
    </row>
    <row r="273" spans="2:8" s="44" customFormat="1" ht="25.5" x14ac:dyDescent="0.25">
      <c r="B273" s="110" t="s">
        <v>491</v>
      </c>
      <c r="C273" s="11" t="s">
        <v>415</v>
      </c>
      <c r="D273" s="52" t="s">
        <v>134</v>
      </c>
      <c r="E273" s="2">
        <f>E277*1.1</f>
        <v>165.11</v>
      </c>
      <c r="F273" s="132"/>
      <c r="G273" s="129"/>
      <c r="H273" s="149"/>
    </row>
    <row r="274" spans="2:8" s="44" customFormat="1" ht="27" x14ac:dyDescent="0.25">
      <c r="B274" s="110" t="s">
        <v>492</v>
      </c>
      <c r="C274" s="53" t="s">
        <v>22</v>
      </c>
      <c r="D274" s="52" t="s">
        <v>134</v>
      </c>
      <c r="E274" s="2">
        <f>E278*1.1</f>
        <v>46.2</v>
      </c>
      <c r="F274" s="132"/>
      <c r="G274" s="129"/>
      <c r="H274" s="149"/>
    </row>
    <row r="275" spans="2:8" s="44" customFormat="1" ht="16.5" x14ac:dyDescent="0.25">
      <c r="B275" s="109" t="s">
        <v>200</v>
      </c>
      <c r="C275" s="18" t="s">
        <v>24</v>
      </c>
      <c r="D275" s="42"/>
      <c r="E275" s="43"/>
      <c r="F275" s="31"/>
      <c r="G275" s="60"/>
      <c r="H275" s="149"/>
    </row>
    <row r="276" spans="2:8" s="44" customFormat="1" ht="25.5" x14ac:dyDescent="0.25">
      <c r="B276" s="110" t="s">
        <v>493</v>
      </c>
      <c r="C276" s="41" t="s">
        <v>109</v>
      </c>
      <c r="D276" s="15" t="s">
        <v>45</v>
      </c>
      <c r="E276" s="2">
        <v>2564</v>
      </c>
      <c r="F276" s="132"/>
      <c r="G276" s="59"/>
      <c r="H276" s="149"/>
    </row>
    <row r="277" spans="2:8" s="44" customFormat="1" ht="38.25" x14ac:dyDescent="0.25">
      <c r="B277" s="110" t="s">
        <v>494</v>
      </c>
      <c r="C277" s="41" t="s">
        <v>412</v>
      </c>
      <c r="D277" s="1" t="s">
        <v>45</v>
      </c>
      <c r="E277" s="2">
        <v>150.1</v>
      </c>
      <c r="F277" s="132"/>
      <c r="G277" s="59"/>
      <c r="H277" s="149"/>
    </row>
    <row r="278" spans="2:8" s="44" customFormat="1" ht="25.5" x14ac:dyDescent="0.25">
      <c r="B278" s="110" t="s">
        <v>495</v>
      </c>
      <c r="C278" s="12" t="s">
        <v>71</v>
      </c>
      <c r="D278" s="1" t="s">
        <v>45</v>
      </c>
      <c r="E278" s="2">
        <v>42</v>
      </c>
      <c r="F278" s="132"/>
      <c r="G278" s="66"/>
      <c r="H278" s="149"/>
    </row>
    <row r="279" spans="2:8" s="44" customFormat="1" ht="16.5" x14ac:dyDescent="0.25">
      <c r="B279" s="109" t="s">
        <v>502</v>
      </c>
      <c r="C279" s="18" t="s">
        <v>30</v>
      </c>
      <c r="D279" s="42"/>
      <c r="E279" s="43"/>
      <c r="F279" s="31"/>
      <c r="G279" s="60"/>
      <c r="H279" s="149"/>
    </row>
    <row r="280" spans="2:8" s="44" customFormat="1" x14ac:dyDescent="0.25">
      <c r="B280" s="110" t="s">
        <v>496</v>
      </c>
      <c r="C280" s="9" t="s">
        <v>31</v>
      </c>
      <c r="D280" s="10" t="s">
        <v>32</v>
      </c>
      <c r="E280" s="2">
        <v>3</v>
      </c>
      <c r="F280" s="132"/>
      <c r="G280" s="66"/>
      <c r="H280" s="148"/>
    </row>
    <row r="281" spans="2:8" s="44" customFormat="1" ht="27.75" x14ac:dyDescent="0.25">
      <c r="B281" s="110" t="s">
        <v>497</v>
      </c>
      <c r="C281" s="9" t="s">
        <v>46</v>
      </c>
      <c r="D281" s="10" t="s">
        <v>32</v>
      </c>
      <c r="E281" s="2">
        <v>4</v>
      </c>
      <c r="F281" s="132"/>
      <c r="G281" s="66"/>
      <c r="H281" s="148"/>
    </row>
    <row r="282" spans="2:8" s="44" customFormat="1" x14ac:dyDescent="0.25">
      <c r="B282" s="110" t="s">
        <v>498</v>
      </c>
      <c r="C282" s="8" t="s">
        <v>33</v>
      </c>
      <c r="D282" s="1" t="s">
        <v>34</v>
      </c>
      <c r="E282" s="2">
        <v>1</v>
      </c>
      <c r="F282" s="132"/>
      <c r="G282" s="66"/>
      <c r="H282" s="148"/>
    </row>
    <row r="283" spans="2:8" s="44" customFormat="1" ht="16.5" x14ac:dyDescent="0.25">
      <c r="B283" s="109" t="s">
        <v>199</v>
      </c>
      <c r="C283" s="18" t="s">
        <v>35</v>
      </c>
      <c r="D283" s="42"/>
      <c r="E283" s="43"/>
      <c r="F283" s="43"/>
      <c r="G283" s="60"/>
      <c r="H283" s="150"/>
    </row>
    <row r="284" spans="2:8" s="44" customFormat="1" x14ac:dyDescent="0.25">
      <c r="B284" s="111" t="s">
        <v>499</v>
      </c>
      <c r="C284" s="11" t="s">
        <v>110</v>
      </c>
      <c r="D284" s="15" t="s">
        <v>45</v>
      </c>
      <c r="E284" s="5">
        <v>764</v>
      </c>
      <c r="F284" s="5"/>
      <c r="G284" s="155"/>
      <c r="H284" s="148"/>
    </row>
    <row r="285" spans="2:8" s="44" customFormat="1" ht="25.5" x14ac:dyDescent="0.25">
      <c r="B285" s="111" t="s">
        <v>500</v>
      </c>
      <c r="C285" s="8" t="s">
        <v>111</v>
      </c>
      <c r="D285" s="10" t="s">
        <v>45</v>
      </c>
      <c r="E285" s="5">
        <f>534*2*0.75</f>
        <v>801</v>
      </c>
      <c r="F285" s="5"/>
      <c r="G285" s="155"/>
      <c r="H285" s="148"/>
    </row>
    <row r="286" spans="2:8" s="44" customFormat="1" ht="16.5" x14ac:dyDescent="0.25">
      <c r="B286" s="113" t="s">
        <v>198</v>
      </c>
      <c r="C286" s="25" t="s">
        <v>56</v>
      </c>
      <c r="D286" s="42"/>
      <c r="E286" s="43"/>
      <c r="F286" s="43"/>
      <c r="G286" s="156"/>
      <c r="H286" s="150"/>
    </row>
    <row r="287" spans="2:8" s="44" customFormat="1" x14ac:dyDescent="0.25">
      <c r="B287" s="110" t="s">
        <v>562</v>
      </c>
      <c r="C287" s="11" t="s">
        <v>79</v>
      </c>
      <c r="D287" s="1" t="s">
        <v>29</v>
      </c>
      <c r="E287" s="2">
        <v>110.5</v>
      </c>
      <c r="F287" s="2"/>
      <c r="G287" s="155"/>
      <c r="H287" s="148"/>
    </row>
    <row r="288" spans="2:8" s="44" customFormat="1" ht="16.5" x14ac:dyDescent="0.25">
      <c r="B288" s="113" t="s">
        <v>503</v>
      </c>
      <c r="C288" s="25" t="s">
        <v>112</v>
      </c>
      <c r="D288" s="42"/>
      <c r="E288" s="35"/>
      <c r="F288" s="35"/>
      <c r="G288" s="60"/>
      <c r="H288" s="150"/>
    </row>
    <row r="289" spans="2:8" s="44" customFormat="1" ht="26.25" thickBot="1" x14ac:dyDescent="0.3">
      <c r="B289" s="116" t="s">
        <v>563</v>
      </c>
      <c r="C289" s="73" t="s">
        <v>506</v>
      </c>
      <c r="D289" s="89" t="s">
        <v>32</v>
      </c>
      <c r="E289" s="130">
        <v>1</v>
      </c>
      <c r="F289" s="130"/>
      <c r="G289" s="155"/>
      <c r="H289" s="148"/>
    </row>
    <row r="290" spans="2:8" s="44" customFormat="1" ht="40.9" customHeight="1" thickBot="1" x14ac:dyDescent="0.3">
      <c r="B290" s="214" t="s">
        <v>197</v>
      </c>
      <c r="C290" s="215"/>
      <c r="D290" s="215"/>
      <c r="E290" s="215"/>
      <c r="F290" s="216"/>
      <c r="G290" s="90"/>
      <c r="H290" s="149"/>
    </row>
    <row r="291" spans="2:8" ht="15.75" x14ac:dyDescent="0.25">
      <c r="B291" s="226" t="s">
        <v>86</v>
      </c>
      <c r="C291" s="227"/>
      <c r="D291" s="227"/>
      <c r="E291" s="227"/>
      <c r="F291" s="227"/>
      <c r="G291" s="228"/>
    </row>
    <row r="292" spans="2:8" ht="17.25" thickBot="1" x14ac:dyDescent="0.3">
      <c r="B292" s="119" t="s">
        <v>158</v>
      </c>
      <c r="C292" s="211" t="s">
        <v>160</v>
      </c>
      <c r="D292" s="212"/>
      <c r="E292" s="212"/>
      <c r="F292" s="212"/>
      <c r="G292" s="213"/>
    </row>
    <row r="293" spans="2:8" ht="33" x14ac:dyDescent="0.25">
      <c r="B293" s="140" t="s">
        <v>0</v>
      </c>
      <c r="C293" s="54" t="s">
        <v>1</v>
      </c>
      <c r="D293" s="54" t="s">
        <v>2</v>
      </c>
      <c r="E293" s="93" t="s">
        <v>3</v>
      </c>
      <c r="F293" s="92" t="s">
        <v>4</v>
      </c>
      <c r="G293" s="141" t="s">
        <v>5</v>
      </c>
    </row>
    <row r="294" spans="2:8" ht="16.5" x14ac:dyDescent="0.25">
      <c r="B294" s="109" t="s">
        <v>58</v>
      </c>
      <c r="C294" s="18" t="s">
        <v>6</v>
      </c>
      <c r="D294" s="31"/>
      <c r="E294" s="32"/>
      <c r="F294" s="33"/>
      <c r="G294" s="65"/>
    </row>
    <row r="295" spans="2:8" ht="38.25" x14ac:dyDescent="0.25">
      <c r="B295" s="110" t="s">
        <v>317</v>
      </c>
      <c r="C295" s="11" t="s">
        <v>59</v>
      </c>
      <c r="D295" s="1" t="s">
        <v>34</v>
      </c>
      <c r="E295" s="2">
        <v>1</v>
      </c>
      <c r="F295" s="132"/>
      <c r="G295" s="66"/>
    </row>
    <row r="296" spans="2:8" ht="25.5" x14ac:dyDescent="0.25">
      <c r="B296" s="110" t="s">
        <v>318</v>
      </c>
      <c r="C296" s="3" t="s">
        <v>84</v>
      </c>
      <c r="D296" s="15" t="s">
        <v>45</v>
      </c>
      <c r="E296" s="5">
        <v>64</v>
      </c>
      <c r="F296" s="132"/>
      <c r="G296" s="66"/>
    </row>
    <row r="297" spans="2:8" ht="25.5" x14ac:dyDescent="0.25">
      <c r="B297" s="110" t="s">
        <v>319</v>
      </c>
      <c r="C297" s="6" t="s">
        <v>60</v>
      </c>
      <c r="D297" s="15" t="s">
        <v>45</v>
      </c>
      <c r="E297" s="5">
        <v>51</v>
      </c>
      <c r="F297" s="132"/>
      <c r="G297" s="66"/>
    </row>
    <row r="298" spans="2:8" ht="38.25" x14ac:dyDescent="0.25">
      <c r="B298" s="110" t="s">
        <v>320</v>
      </c>
      <c r="C298" s="6" t="s">
        <v>509</v>
      </c>
      <c r="D298" s="15" t="s">
        <v>45</v>
      </c>
      <c r="E298" s="5">
        <f>436-E297-E296</f>
        <v>321</v>
      </c>
      <c r="F298" s="132"/>
      <c r="G298" s="66"/>
    </row>
    <row r="299" spans="2:8" ht="25.5" x14ac:dyDescent="0.25">
      <c r="B299" s="110" t="s">
        <v>321</v>
      </c>
      <c r="C299" s="7" t="s">
        <v>62</v>
      </c>
      <c r="D299" s="4" t="s">
        <v>43</v>
      </c>
      <c r="E299" s="2">
        <v>6</v>
      </c>
      <c r="F299" s="132"/>
      <c r="G299" s="66"/>
    </row>
    <row r="300" spans="2:8" x14ac:dyDescent="0.25">
      <c r="B300" s="110" t="s">
        <v>322</v>
      </c>
      <c r="C300" s="7" t="s">
        <v>14</v>
      </c>
      <c r="D300" s="4" t="s">
        <v>43</v>
      </c>
      <c r="E300" s="2">
        <f>7*2</f>
        <v>14</v>
      </c>
      <c r="F300" s="132"/>
      <c r="G300" s="66"/>
    </row>
    <row r="301" spans="2:8" ht="25.5" x14ac:dyDescent="0.25">
      <c r="B301" s="110" t="s">
        <v>323</v>
      </c>
      <c r="C301" s="8" t="s">
        <v>12</v>
      </c>
      <c r="D301" s="1" t="s">
        <v>13</v>
      </c>
      <c r="E301" s="2">
        <f>14.5+6.5</f>
        <v>21</v>
      </c>
      <c r="F301" s="132"/>
      <c r="G301" s="66"/>
    </row>
    <row r="302" spans="2:8" ht="25.5" x14ac:dyDescent="0.25">
      <c r="B302" s="110" t="s">
        <v>324</v>
      </c>
      <c r="C302" s="26" t="s">
        <v>63</v>
      </c>
      <c r="D302" s="15" t="s">
        <v>32</v>
      </c>
      <c r="E302" s="2">
        <v>5</v>
      </c>
      <c r="F302" s="132"/>
      <c r="G302" s="66"/>
    </row>
    <row r="303" spans="2:8" ht="25.5" x14ac:dyDescent="0.25">
      <c r="B303" s="110" t="s">
        <v>325</v>
      </c>
      <c r="C303" s="26" t="s">
        <v>64</v>
      </c>
      <c r="D303" s="15" t="s">
        <v>32</v>
      </c>
      <c r="E303" s="2">
        <v>2</v>
      </c>
      <c r="F303" s="132"/>
      <c r="G303" s="66"/>
    </row>
    <row r="304" spans="2:8" ht="25.5" x14ac:dyDescent="0.25">
      <c r="B304" s="110" t="s">
        <v>326</v>
      </c>
      <c r="C304" s="26" t="s">
        <v>65</v>
      </c>
      <c r="D304" s="15" t="s">
        <v>32</v>
      </c>
      <c r="E304" s="2">
        <v>4</v>
      </c>
      <c r="F304" s="132"/>
      <c r="G304" s="66"/>
    </row>
    <row r="305" spans="2:7" ht="16.5" x14ac:dyDescent="0.25">
      <c r="B305" s="109" t="s">
        <v>66</v>
      </c>
      <c r="C305" s="18" t="s">
        <v>15</v>
      </c>
      <c r="D305" s="34"/>
      <c r="E305" s="35"/>
      <c r="F305" s="36"/>
      <c r="G305" s="128"/>
    </row>
    <row r="306" spans="2:7" ht="25.5" x14ac:dyDescent="0.25">
      <c r="B306" s="111" t="s">
        <v>327</v>
      </c>
      <c r="C306" s="9" t="s">
        <v>16</v>
      </c>
      <c r="D306" s="10" t="s">
        <v>44</v>
      </c>
      <c r="E306" s="5">
        <f>E310*0.43+E313*0.43+E314*0.33-E296*0.15-E297*0.15-E298*0.4-E299*0.08+E307</f>
        <v>71.649000000000001</v>
      </c>
      <c r="F306" s="132"/>
      <c r="G306" s="66"/>
    </row>
    <row r="307" spans="2:7" ht="25.5" x14ac:dyDescent="0.25">
      <c r="B307" s="111" t="s">
        <v>328</v>
      </c>
      <c r="C307" s="9" t="s">
        <v>17</v>
      </c>
      <c r="D307" s="10" t="s">
        <v>44</v>
      </c>
      <c r="E307" s="2">
        <v>32</v>
      </c>
      <c r="F307" s="132"/>
      <c r="G307" s="66"/>
    </row>
    <row r="308" spans="2:7" x14ac:dyDescent="0.25">
      <c r="B308" s="111" t="s">
        <v>329</v>
      </c>
      <c r="C308" s="9" t="s">
        <v>18</v>
      </c>
      <c r="D308" s="10" t="s">
        <v>45</v>
      </c>
      <c r="E308" s="2">
        <f>E310+E313+E314</f>
        <v>435.3</v>
      </c>
      <c r="F308" s="132"/>
      <c r="G308" s="66"/>
    </row>
    <row r="309" spans="2:7" ht="16.5" x14ac:dyDescent="0.25">
      <c r="B309" s="109" t="s">
        <v>67</v>
      </c>
      <c r="C309" s="18" t="s">
        <v>19</v>
      </c>
      <c r="D309" s="34"/>
      <c r="E309" s="35"/>
      <c r="F309" s="36"/>
      <c r="G309" s="128"/>
    </row>
    <row r="310" spans="2:7" ht="25.5" x14ac:dyDescent="0.25">
      <c r="B310" s="110" t="s">
        <v>330</v>
      </c>
      <c r="C310" s="11" t="s">
        <v>564</v>
      </c>
      <c r="D310" s="1" t="s">
        <v>45</v>
      </c>
      <c r="E310" s="2">
        <f>E311-E318</f>
        <v>407.5</v>
      </c>
      <c r="F310" s="132"/>
      <c r="G310" s="66"/>
    </row>
    <row r="311" spans="2:7" ht="38.25" x14ac:dyDescent="0.25">
      <c r="B311" s="110" t="s">
        <v>331</v>
      </c>
      <c r="C311" s="11" t="s">
        <v>565</v>
      </c>
      <c r="D311" s="1" t="s">
        <v>45</v>
      </c>
      <c r="E311" s="2">
        <f>E317+E318</f>
        <v>421.3</v>
      </c>
      <c r="F311" s="132"/>
      <c r="G311" s="66"/>
    </row>
    <row r="312" spans="2:7" ht="38.25" x14ac:dyDescent="0.25">
      <c r="B312" s="110" t="s">
        <v>332</v>
      </c>
      <c r="C312" s="11" t="s">
        <v>21</v>
      </c>
      <c r="D312" s="1" t="s">
        <v>45</v>
      </c>
      <c r="E312" s="2">
        <f>E319</f>
        <v>14</v>
      </c>
      <c r="F312" s="132"/>
      <c r="G312" s="66"/>
    </row>
    <row r="313" spans="2:7" ht="25.5" x14ac:dyDescent="0.25">
      <c r="B313" s="110" t="s">
        <v>333</v>
      </c>
      <c r="C313" s="11" t="s">
        <v>22</v>
      </c>
      <c r="D313" s="1" t="s">
        <v>45</v>
      </c>
      <c r="E313" s="2">
        <f>E318</f>
        <v>13.8</v>
      </c>
      <c r="F313" s="132"/>
      <c r="G313" s="66"/>
    </row>
    <row r="314" spans="2:7" ht="25.5" x14ac:dyDescent="0.25">
      <c r="B314" s="110" t="s">
        <v>334</v>
      </c>
      <c r="C314" s="11" t="s">
        <v>68</v>
      </c>
      <c r="D314" s="1" t="s">
        <v>45</v>
      </c>
      <c r="E314" s="2">
        <f>E319</f>
        <v>14</v>
      </c>
      <c r="F314" s="132"/>
      <c r="G314" s="66"/>
    </row>
    <row r="315" spans="2:7" x14ac:dyDescent="0.25">
      <c r="B315" s="110" t="s">
        <v>335</v>
      </c>
      <c r="C315" s="11" t="s">
        <v>69</v>
      </c>
      <c r="D315" s="1" t="s">
        <v>45</v>
      </c>
      <c r="E315" s="2">
        <f>E320</f>
        <v>5</v>
      </c>
      <c r="F315" s="132"/>
      <c r="G315" s="66"/>
    </row>
    <row r="316" spans="2:7" ht="16.5" x14ac:dyDescent="0.25">
      <c r="B316" s="109" t="s">
        <v>70</v>
      </c>
      <c r="C316" s="18" t="s">
        <v>24</v>
      </c>
      <c r="D316" s="34"/>
      <c r="E316" s="35"/>
      <c r="F316" s="36"/>
      <c r="G316" s="128"/>
    </row>
    <row r="317" spans="2:7" ht="46.15" customHeight="1" x14ac:dyDescent="0.25">
      <c r="B317" s="110" t="s">
        <v>336</v>
      </c>
      <c r="C317" s="12" t="s">
        <v>572</v>
      </c>
      <c r="D317" s="1" t="s">
        <v>45</v>
      </c>
      <c r="E317" s="2">
        <v>407.5</v>
      </c>
      <c r="F317" s="132"/>
      <c r="G317" s="66"/>
    </row>
    <row r="318" spans="2:7" ht="25.5" x14ac:dyDescent="0.25">
      <c r="B318" s="110" t="s">
        <v>337</v>
      </c>
      <c r="C318" s="12" t="s">
        <v>71</v>
      </c>
      <c r="D318" s="1" t="s">
        <v>45</v>
      </c>
      <c r="E318" s="2">
        <v>13.8</v>
      </c>
      <c r="F318" s="132"/>
      <c r="G318" s="66"/>
    </row>
    <row r="319" spans="2:7" ht="25.5" x14ac:dyDescent="0.25">
      <c r="B319" s="110" t="s">
        <v>338</v>
      </c>
      <c r="C319" s="12" t="s">
        <v>26</v>
      </c>
      <c r="D319" s="1" t="s">
        <v>45</v>
      </c>
      <c r="E319" s="2">
        <f>E300</f>
        <v>14</v>
      </c>
      <c r="F319" s="132"/>
      <c r="G319" s="66"/>
    </row>
    <row r="320" spans="2:7" ht="25.5" x14ac:dyDescent="0.25">
      <c r="B320" s="110" t="s">
        <v>339</v>
      </c>
      <c r="C320" s="12" t="s">
        <v>72</v>
      </c>
      <c r="D320" s="1" t="s">
        <v>45</v>
      </c>
      <c r="E320" s="2">
        <v>5</v>
      </c>
      <c r="F320" s="132"/>
      <c r="G320" s="66"/>
    </row>
    <row r="321" spans="2:7" ht="16.5" x14ac:dyDescent="0.25">
      <c r="B321" s="109" t="s">
        <v>73</v>
      </c>
      <c r="C321" s="18" t="s">
        <v>27</v>
      </c>
      <c r="D321" s="22"/>
      <c r="E321" s="23"/>
      <c r="F321" s="37"/>
      <c r="G321" s="131"/>
    </row>
    <row r="322" spans="2:7" ht="25.5" x14ac:dyDescent="0.25">
      <c r="B322" s="110" t="s">
        <v>340</v>
      </c>
      <c r="C322" s="7" t="s">
        <v>28</v>
      </c>
      <c r="D322" s="1" t="s">
        <v>29</v>
      </c>
      <c r="E322" s="5">
        <v>111</v>
      </c>
      <c r="F322" s="132"/>
      <c r="G322" s="30"/>
    </row>
    <row r="323" spans="2:7" ht="25.5" x14ac:dyDescent="0.25">
      <c r="B323" s="110" t="s">
        <v>341</v>
      </c>
      <c r="C323" s="7" t="s">
        <v>74</v>
      </c>
      <c r="D323" s="1" t="s">
        <v>29</v>
      </c>
      <c r="E323" s="13">
        <v>40.75</v>
      </c>
      <c r="F323" s="132"/>
      <c r="G323" s="30"/>
    </row>
    <row r="324" spans="2:7" ht="25.5" x14ac:dyDescent="0.25">
      <c r="B324" s="110" t="s">
        <v>342</v>
      </c>
      <c r="C324" s="7" t="s">
        <v>75</v>
      </c>
      <c r="D324" s="1" t="s">
        <v>29</v>
      </c>
      <c r="E324" s="5">
        <v>19.399999999999999</v>
      </c>
      <c r="F324" s="132"/>
      <c r="G324" s="30"/>
    </row>
    <row r="325" spans="2:7" ht="16.5" x14ac:dyDescent="0.25">
      <c r="B325" s="109" t="s">
        <v>76</v>
      </c>
      <c r="C325" s="18" t="s">
        <v>30</v>
      </c>
      <c r="D325" s="22"/>
      <c r="E325" s="23"/>
      <c r="F325" s="37"/>
      <c r="G325" s="131"/>
    </row>
    <row r="326" spans="2:7" x14ac:dyDescent="0.25">
      <c r="B326" s="110" t="s">
        <v>343</v>
      </c>
      <c r="C326" s="9" t="s">
        <v>31</v>
      </c>
      <c r="D326" s="10" t="s">
        <v>32</v>
      </c>
      <c r="E326" s="2">
        <v>5</v>
      </c>
      <c r="F326" s="132"/>
      <c r="G326" s="66"/>
    </row>
    <row r="327" spans="2:7" ht="27.75" x14ac:dyDescent="0.25">
      <c r="B327" s="110" t="s">
        <v>344</v>
      </c>
      <c r="C327" s="9" t="s">
        <v>46</v>
      </c>
      <c r="D327" s="10" t="s">
        <v>32</v>
      </c>
      <c r="E327" s="2">
        <v>2</v>
      </c>
      <c r="F327" s="132"/>
      <c r="G327" s="66"/>
    </row>
    <row r="328" spans="2:7" x14ac:dyDescent="0.25">
      <c r="B328" s="110" t="s">
        <v>345</v>
      </c>
      <c r="C328" s="9" t="s">
        <v>83</v>
      </c>
      <c r="D328" s="10" t="s">
        <v>32</v>
      </c>
      <c r="E328" s="2">
        <v>4</v>
      </c>
      <c r="F328" s="132"/>
      <c r="G328" s="66"/>
    </row>
    <row r="329" spans="2:7" x14ac:dyDescent="0.25">
      <c r="B329" s="110" t="s">
        <v>346</v>
      </c>
      <c r="C329" s="8" t="s">
        <v>33</v>
      </c>
      <c r="D329" s="1" t="s">
        <v>34</v>
      </c>
      <c r="E329" s="2">
        <v>1</v>
      </c>
      <c r="F329" s="132"/>
      <c r="G329" s="66"/>
    </row>
    <row r="330" spans="2:7" ht="16.5" x14ac:dyDescent="0.25">
      <c r="B330" s="109" t="s">
        <v>77</v>
      </c>
      <c r="C330" s="18" t="s">
        <v>35</v>
      </c>
      <c r="D330" s="22"/>
      <c r="E330" s="23"/>
      <c r="F330" s="37"/>
      <c r="G330" s="131"/>
    </row>
    <row r="331" spans="2:7" x14ac:dyDescent="0.25">
      <c r="B331" s="111" t="s">
        <v>347</v>
      </c>
      <c r="C331" s="11" t="s">
        <v>36</v>
      </c>
      <c r="D331" s="15" t="s">
        <v>45</v>
      </c>
      <c r="E331" s="5">
        <v>7</v>
      </c>
      <c r="F331" s="132"/>
      <c r="G331" s="66"/>
    </row>
    <row r="332" spans="2:7" ht="16.5" x14ac:dyDescent="0.25">
      <c r="B332" s="113" t="s">
        <v>78</v>
      </c>
      <c r="C332" s="25" t="s">
        <v>56</v>
      </c>
      <c r="D332" s="22"/>
      <c r="E332" s="23"/>
      <c r="F332" s="38"/>
      <c r="G332" s="131"/>
    </row>
    <row r="333" spans="2:7" x14ac:dyDescent="0.25">
      <c r="B333" s="110" t="s">
        <v>348</v>
      </c>
      <c r="C333" s="11" t="s">
        <v>79</v>
      </c>
      <c r="D333" s="1" t="s">
        <v>29</v>
      </c>
      <c r="E333" s="2">
        <v>10</v>
      </c>
      <c r="F333" s="132"/>
      <c r="G333" s="66"/>
    </row>
    <row r="334" spans="2:7" ht="38.25" x14ac:dyDescent="0.25">
      <c r="B334" s="110" t="s">
        <v>349</v>
      </c>
      <c r="C334" s="27" t="s">
        <v>80</v>
      </c>
      <c r="D334" s="28" t="s">
        <v>81</v>
      </c>
      <c r="E334" s="29">
        <v>1</v>
      </c>
      <c r="F334" s="132"/>
      <c r="G334" s="66"/>
    </row>
    <row r="335" spans="2:7" ht="16.5" x14ac:dyDescent="0.25">
      <c r="B335" s="113" t="s">
        <v>82</v>
      </c>
      <c r="C335" s="25" t="s">
        <v>39</v>
      </c>
      <c r="D335" s="22"/>
      <c r="E335" s="23"/>
      <c r="F335" s="38"/>
      <c r="G335" s="131"/>
    </row>
    <row r="336" spans="2:7" ht="36" customHeight="1" x14ac:dyDescent="0.25">
      <c r="B336" s="142" t="s">
        <v>350</v>
      </c>
      <c r="C336" s="7" t="s">
        <v>567</v>
      </c>
      <c r="D336" s="4" t="s">
        <v>29</v>
      </c>
      <c r="E336" s="16">
        <v>27</v>
      </c>
      <c r="F336" s="132"/>
      <c r="G336" s="143"/>
    </row>
    <row r="337" spans="2:7" ht="60" customHeight="1" x14ac:dyDescent="0.25">
      <c r="B337" s="142" t="s">
        <v>351</v>
      </c>
      <c r="C337" s="7" t="s">
        <v>569</v>
      </c>
      <c r="D337" s="4" t="s">
        <v>34</v>
      </c>
      <c r="E337" s="16">
        <v>3</v>
      </c>
      <c r="F337" s="132"/>
      <c r="G337" s="143"/>
    </row>
    <row r="338" spans="2:7" ht="38.25" x14ac:dyDescent="0.25">
      <c r="B338" s="142" t="s">
        <v>352</v>
      </c>
      <c r="C338" s="7" t="s">
        <v>41</v>
      </c>
      <c r="D338" s="4" t="s">
        <v>34</v>
      </c>
      <c r="E338" s="16">
        <v>2</v>
      </c>
      <c r="F338" s="132"/>
      <c r="G338" s="143"/>
    </row>
    <row r="339" spans="2:7" ht="25.5" x14ac:dyDescent="0.25">
      <c r="B339" s="142" t="s">
        <v>566</v>
      </c>
      <c r="C339" s="7" t="s">
        <v>40</v>
      </c>
      <c r="D339" s="4" t="s">
        <v>34</v>
      </c>
      <c r="E339" s="16">
        <v>1</v>
      </c>
      <c r="F339" s="132"/>
      <c r="G339" s="143"/>
    </row>
    <row r="340" spans="2:7" ht="25.5" x14ac:dyDescent="0.25">
      <c r="B340" s="142" t="s">
        <v>568</v>
      </c>
      <c r="C340" s="11" t="s">
        <v>42</v>
      </c>
      <c r="D340" s="1" t="s">
        <v>34</v>
      </c>
      <c r="E340" s="16">
        <v>1</v>
      </c>
      <c r="F340" s="132"/>
      <c r="G340" s="143"/>
    </row>
    <row r="341" spans="2:7" ht="26.45" customHeight="1" thickBot="1" x14ac:dyDescent="0.3">
      <c r="B341" s="235" t="s">
        <v>87</v>
      </c>
      <c r="C341" s="236"/>
      <c r="D341" s="236"/>
      <c r="E341" s="236"/>
      <c r="F341" s="236"/>
      <c r="G341" s="95"/>
    </row>
    <row r="342" spans="2:7" ht="15.75" x14ac:dyDescent="0.25">
      <c r="B342" s="226" t="s">
        <v>88</v>
      </c>
      <c r="C342" s="227"/>
      <c r="D342" s="227"/>
      <c r="E342" s="227"/>
      <c r="F342" s="227"/>
      <c r="G342" s="228"/>
    </row>
    <row r="343" spans="2:7" ht="17.25" thickBot="1" x14ac:dyDescent="0.3">
      <c r="B343" s="119" t="s">
        <v>158</v>
      </c>
      <c r="C343" s="211" t="s">
        <v>161</v>
      </c>
      <c r="D343" s="212"/>
      <c r="E343" s="212"/>
      <c r="F343" s="212"/>
      <c r="G343" s="213"/>
    </row>
    <row r="344" spans="2:7" ht="27.6" customHeight="1" x14ac:dyDescent="0.25">
      <c r="B344" s="140" t="s">
        <v>0</v>
      </c>
      <c r="C344" s="54" t="s">
        <v>1</v>
      </c>
      <c r="D344" s="54" t="s">
        <v>2</v>
      </c>
      <c r="E344" s="93" t="s">
        <v>3</v>
      </c>
      <c r="F344" s="92" t="s">
        <v>4</v>
      </c>
      <c r="G344" s="141" t="s">
        <v>5</v>
      </c>
    </row>
    <row r="345" spans="2:7" ht="16.5" x14ac:dyDescent="0.25">
      <c r="B345" s="109" t="s">
        <v>90</v>
      </c>
      <c r="C345" s="18" t="s">
        <v>6</v>
      </c>
      <c r="D345" s="31"/>
      <c r="E345" s="32"/>
      <c r="F345" s="33"/>
      <c r="G345" s="65"/>
    </row>
    <row r="346" spans="2:7" ht="38.25" x14ac:dyDescent="0.25">
      <c r="B346" s="110" t="s">
        <v>353</v>
      </c>
      <c r="C346" s="11" t="s">
        <v>99</v>
      </c>
      <c r="D346" s="1" t="s">
        <v>34</v>
      </c>
      <c r="E346" s="2">
        <v>1</v>
      </c>
      <c r="F346" s="132"/>
      <c r="G346" s="66"/>
    </row>
    <row r="347" spans="2:7" ht="25.5" x14ac:dyDescent="0.25">
      <c r="B347" s="110" t="s">
        <v>354</v>
      </c>
      <c r="C347" s="3" t="s">
        <v>84</v>
      </c>
      <c r="D347" s="15" t="s">
        <v>45</v>
      </c>
      <c r="E347" s="5">
        <f>907-E348-E349-E350</f>
        <v>137.14999999999998</v>
      </c>
      <c r="F347" s="132"/>
      <c r="G347" s="66"/>
    </row>
    <row r="348" spans="2:7" ht="25.5" x14ac:dyDescent="0.25">
      <c r="B348" s="110" t="s">
        <v>355</v>
      </c>
      <c r="C348" s="6" t="s">
        <v>60</v>
      </c>
      <c r="D348" s="15" t="s">
        <v>45</v>
      </c>
      <c r="E348" s="5">
        <f>31+33+28</f>
        <v>92</v>
      </c>
      <c r="F348" s="132"/>
      <c r="G348" s="66"/>
    </row>
    <row r="349" spans="2:7" ht="25.5" x14ac:dyDescent="0.25">
      <c r="B349" s="110" t="s">
        <v>356</v>
      </c>
      <c r="C349" s="6" t="s">
        <v>61</v>
      </c>
      <c r="D349" s="15" t="s">
        <v>45</v>
      </c>
      <c r="E349" s="5">
        <f>769.85-E348-E350</f>
        <v>611.35</v>
      </c>
      <c r="F349" s="132"/>
      <c r="G349" s="66"/>
    </row>
    <row r="350" spans="2:7" ht="25.5" x14ac:dyDescent="0.25">
      <c r="B350" s="110" t="s">
        <v>357</v>
      </c>
      <c r="C350" s="7" t="s">
        <v>62</v>
      </c>
      <c r="D350" s="4" t="s">
        <v>43</v>
      </c>
      <c r="E350" s="2">
        <f>47+19.5</f>
        <v>66.5</v>
      </c>
      <c r="F350" s="132"/>
      <c r="G350" s="66"/>
    </row>
    <row r="351" spans="2:7" ht="25.5" x14ac:dyDescent="0.25">
      <c r="B351" s="110" t="s">
        <v>358</v>
      </c>
      <c r="C351" s="8" t="s">
        <v>12</v>
      </c>
      <c r="D351" s="1" t="s">
        <v>13</v>
      </c>
      <c r="E351" s="2">
        <v>123</v>
      </c>
      <c r="F351" s="132"/>
      <c r="G351" s="66"/>
    </row>
    <row r="352" spans="2:7" ht="16.5" x14ac:dyDescent="0.25">
      <c r="B352" s="109" t="s">
        <v>91</v>
      </c>
      <c r="C352" s="18" t="s">
        <v>15</v>
      </c>
      <c r="D352" s="34"/>
      <c r="E352" s="35"/>
      <c r="F352" s="36"/>
      <c r="G352" s="128"/>
    </row>
    <row r="353" spans="2:7" ht="25.5" x14ac:dyDescent="0.25">
      <c r="B353" s="111" t="s">
        <v>359</v>
      </c>
      <c r="C353" s="9" t="s">
        <v>16</v>
      </c>
      <c r="D353" s="10" t="s">
        <v>44</v>
      </c>
      <c r="E353" s="5">
        <f>E359*0.43+E360*0.33-E347*0.15-E348*0.15-E349*0.4-E350*0.08+E354</f>
        <v>142.39949999999999</v>
      </c>
      <c r="F353" s="132"/>
      <c r="G353" s="66"/>
    </row>
    <row r="354" spans="2:7" ht="25.5" x14ac:dyDescent="0.25">
      <c r="B354" s="111" t="s">
        <v>360</v>
      </c>
      <c r="C354" s="9" t="s">
        <v>17</v>
      </c>
      <c r="D354" s="10" t="s">
        <v>44</v>
      </c>
      <c r="E354" s="2">
        <v>47</v>
      </c>
      <c r="F354" s="132"/>
      <c r="G354" s="66"/>
    </row>
    <row r="355" spans="2:7" x14ac:dyDescent="0.25">
      <c r="B355" s="111" t="s">
        <v>361</v>
      </c>
      <c r="C355" s="9" t="s">
        <v>18</v>
      </c>
      <c r="D355" s="10" t="s">
        <v>45</v>
      </c>
      <c r="E355" s="2">
        <f>E359+E360</f>
        <v>901.40000000000009</v>
      </c>
      <c r="F355" s="132"/>
      <c r="G355" s="66"/>
    </row>
    <row r="356" spans="2:7" ht="16.5" x14ac:dyDescent="0.25">
      <c r="B356" s="109" t="s">
        <v>92</v>
      </c>
      <c r="C356" s="18" t="s">
        <v>19</v>
      </c>
      <c r="D356" s="34"/>
      <c r="E356" s="35"/>
      <c r="F356" s="36"/>
      <c r="G356" s="128"/>
    </row>
    <row r="357" spans="2:7" ht="38.25" x14ac:dyDescent="0.25">
      <c r="B357" s="110" t="s">
        <v>362</v>
      </c>
      <c r="C357" s="11" t="s">
        <v>565</v>
      </c>
      <c r="D357" s="1" t="s">
        <v>45</v>
      </c>
      <c r="E357" s="2">
        <f>E362+E363</f>
        <v>821.7</v>
      </c>
      <c r="F357" s="132"/>
      <c r="G357" s="66"/>
    </row>
    <row r="358" spans="2:7" ht="38.25" x14ac:dyDescent="0.25">
      <c r="B358" s="110" t="s">
        <v>363</v>
      </c>
      <c r="C358" s="11" t="s">
        <v>21</v>
      </c>
      <c r="D358" s="1" t="s">
        <v>45</v>
      </c>
      <c r="E358" s="2">
        <f>E364</f>
        <v>79.7</v>
      </c>
      <c r="F358" s="132"/>
      <c r="G358" s="66"/>
    </row>
    <row r="359" spans="2:7" ht="38.25" x14ac:dyDescent="0.25">
      <c r="B359" s="110" t="s">
        <v>364</v>
      </c>
      <c r="C359" s="11" t="s">
        <v>570</v>
      </c>
      <c r="D359" s="1" t="s">
        <v>45</v>
      </c>
      <c r="E359" s="2">
        <f>E363+E362</f>
        <v>821.7</v>
      </c>
      <c r="F359" s="132"/>
      <c r="G359" s="66"/>
    </row>
    <row r="360" spans="2:7" ht="25.5" x14ac:dyDescent="0.25">
      <c r="B360" s="110" t="s">
        <v>365</v>
      </c>
      <c r="C360" s="11" t="s">
        <v>68</v>
      </c>
      <c r="D360" s="1" t="s">
        <v>45</v>
      </c>
      <c r="E360" s="2">
        <f>E364</f>
        <v>79.7</v>
      </c>
      <c r="F360" s="132"/>
      <c r="G360" s="66"/>
    </row>
    <row r="361" spans="2:7" ht="16.5" x14ac:dyDescent="0.25">
      <c r="B361" s="109" t="s">
        <v>93</v>
      </c>
      <c r="C361" s="18" t="s">
        <v>24</v>
      </c>
      <c r="D361" s="34"/>
      <c r="E361" s="35"/>
      <c r="F361" s="36"/>
      <c r="G361" s="128"/>
    </row>
    <row r="362" spans="2:7" ht="25.5" x14ac:dyDescent="0.25">
      <c r="B362" s="110" t="s">
        <v>366</v>
      </c>
      <c r="C362" s="12" t="s">
        <v>571</v>
      </c>
      <c r="D362" s="1" t="s">
        <v>45</v>
      </c>
      <c r="E362" s="39">
        <v>797.7</v>
      </c>
      <c r="F362" s="132"/>
      <c r="G362" s="66"/>
    </row>
    <row r="363" spans="2:7" ht="25.5" x14ac:dyDescent="0.25">
      <c r="B363" s="110" t="s">
        <v>367</v>
      </c>
      <c r="C363" s="12" t="s">
        <v>71</v>
      </c>
      <c r="D363" s="1" t="s">
        <v>45</v>
      </c>
      <c r="E363" s="2">
        <v>24</v>
      </c>
      <c r="F363" s="132"/>
      <c r="G363" s="66"/>
    </row>
    <row r="364" spans="2:7" ht="27.6" customHeight="1" x14ac:dyDescent="0.25">
      <c r="B364" s="110" t="s">
        <v>368</v>
      </c>
      <c r="C364" s="12" t="s">
        <v>26</v>
      </c>
      <c r="D364" s="1" t="s">
        <v>45</v>
      </c>
      <c r="E364" s="2">
        <v>79.7</v>
      </c>
      <c r="F364" s="132"/>
      <c r="G364" s="66"/>
    </row>
    <row r="365" spans="2:7" ht="16.5" x14ac:dyDescent="0.25">
      <c r="B365" s="109" t="s">
        <v>94</v>
      </c>
      <c r="C365" s="18" t="s">
        <v>27</v>
      </c>
      <c r="D365" s="22"/>
      <c r="E365" s="23"/>
      <c r="F365" s="37"/>
      <c r="G365" s="131"/>
    </row>
    <row r="366" spans="2:7" ht="25.5" x14ac:dyDescent="0.25">
      <c r="B366" s="110" t="s">
        <v>369</v>
      </c>
      <c r="C366" s="7" t="s">
        <v>28</v>
      </c>
      <c r="D366" s="1" t="s">
        <v>29</v>
      </c>
      <c r="E366" s="5">
        <v>208</v>
      </c>
      <c r="F366" s="132"/>
      <c r="G366" s="30"/>
    </row>
    <row r="367" spans="2:7" ht="25.5" x14ac:dyDescent="0.25">
      <c r="B367" s="110" t="s">
        <v>370</v>
      </c>
      <c r="C367" s="7" t="s">
        <v>75</v>
      </c>
      <c r="D367" s="1" t="s">
        <v>29</v>
      </c>
      <c r="E367" s="5">
        <v>11.4</v>
      </c>
      <c r="F367" s="132"/>
      <c r="G367" s="30"/>
    </row>
    <row r="368" spans="2:7" x14ac:dyDescent="0.25">
      <c r="B368" s="110" t="s">
        <v>371</v>
      </c>
      <c r="C368" s="7" t="s">
        <v>100</v>
      </c>
      <c r="D368" s="4" t="s">
        <v>29</v>
      </c>
      <c r="E368" s="5">
        <v>89.3</v>
      </c>
      <c r="F368" s="132"/>
      <c r="G368" s="30"/>
    </row>
    <row r="369" spans="2:7" ht="16.5" x14ac:dyDescent="0.25">
      <c r="B369" s="109" t="s">
        <v>95</v>
      </c>
      <c r="C369" s="18" t="s">
        <v>30</v>
      </c>
      <c r="D369" s="22"/>
      <c r="E369" s="23"/>
      <c r="F369" s="37"/>
      <c r="G369" s="131"/>
    </row>
    <row r="370" spans="2:7" x14ac:dyDescent="0.25">
      <c r="B370" s="110" t="s">
        <v>372</v>
      </c>
      <c r="C370" s="9" t="s">
        <v>31</v>
      </c>
      <c r="D370" s="10" t="s">
        <v>32</v>
      </c>
      <c r="E370" s="2">
        <v>2</v>
      </c>
      <c r="F370" s="132"/>
      <c r="G370" s="66"/>
    </row>
    <row r="371" spans="2:7" ht="29.25" x14ac:dyDescent="0.25">
      <c r="B371" s="110" t="s">
        <v>373</v>
      </c>
      <c r="C371" s="139" t="s">
        <v>534</v>
      </c>
      <c r="D371" s="10" t="s">
        <v>32</v>
      </c>
      <c r="E371" s="2">
        <v>2</v>
      </c>
      <c r="F371" s="132"/>
      <c r="G371" s="66"/>
    </row>
    <row r="372" spans="2:7" x14ac:dyDescent="0.25">
      <c r="B372" s="110" t="s">
        <v>374</v>
      </c>
      <c r="C372" s="8" t="s">
        <v>33</v>
      </c>
      <c r="D372" s="1" t="s">
        <v>34</v>
      </c>
      <c r="E372" s="2">
        <v>1</v>
      </c>
      <c r="F372" s="132"/>
      <c r="G372" s="66"/>
    </row>
    <row r="373" spans="2:7" ht="16.5" x14ac:dyDescent="0.25">
      <c r="B373" s="109" t="s">
        <v>96</v>
      </c>
      <c r="C373" s="18" t="s">
        <v>35</v>
      </c>
      <c r="D373" s="22"/>
      <c r="E373" s="23"/>
      <c r="F373" s="37"/>
      <c r="G373" s="131"/>
    </row>
    <row r="374" spans="2:7" x14ac:dyDescent="0.25">
      <c r="B374" s="111" t="s">
        <v>375</v>
      </c>
      <c r="C374" s="11" t="s">
        <v>36</v>
      </c>
      <c r="D374" s="15" t="s">
        <v>45</v>
      </c>
      <c r="E374" s="5">
        <v>137</v>
      </c>
      <c r="F374" s="132"/>
      <c r="G374" s="66"/>
    </row>
    <row r="375" spans="2:7" ht="16.5" x14ac:dyDescent="0.25">
      <c r="B375" s="113" t="s">
        <v>97</v>
      </c>
      <c r="C375" s="25" t="s">
        <v>56</v>
      </c>
      <c r="D375" s="22"/>
      <c r="E375" s="23"/>
      <c r="F375" s="38"/>
      <c r="G375" s="131"/>
    </row>
    <row r="376" spans="2:7" x14ac:dyDescent="0.25">
      <c r="B376" s="110" t="s">
        <v>376</v>
      </c>
      <c r="C376" s="11" t="s">
        <v>79</v>
      </c>
      <c r="D376" s="1" t="s">
        <v>29</v>
      </c>
      <c r="E376" s="2">
        <v>69</v>
      </c>
      <c r="F376" s="132"/>
      <c r="G376" s="66"/>
    </row>
    <row r="377" spans="2:7" ht="25.5" x14ac:dyDescent="0.25">
      <c r="B377" s="110" t="s">
        <v>377</v>
      </c>
      <c r="C377" s="27" t="s">
        <v>101</v>
      </c>
      <c r="D377" s="28" t="s">
        <v>81</v>
      </c>
      <c r="E377" s="29">
        <v>1</v>
      </c>
      <c r="F377" s="132"/>
      <c r="G377" s="66"/>
    </row>
    <row r="378" spans="2:7" ht="16.5" x14ac:dyDescent="0.25">
      <c r="B378" s="113" t="s">
        <v>98</v>
      </c>
      <c r="C378" s="25" t="s">
        <v>39</v>
      </c>
      <c r="D378" s="22"/>
      <c r="E378" s="23"/>
      <c r="F378" s="38"/>
      <c r="G378" s="131"/>
    </row>
    <row r="379" spans="2:7" ht="25.5" x14ac:dyDescent="0.25">
      <c r="B379" s="142" t="s">
        <v>378</v>
      </c>
      <c r="C379" s="7" t="s">
        <v>567</v>
      </c>
      <c r="D379" s="4" t="s">
        <v>29</v>
      </c>
      <c r="E379" s="16">
        <v>65.400000000000006</v>
      </c>
      <c r="F379" s="132"/>
      <c r="G379" s="143"/>
    </row>
    <row r="380" spans="2:7" ht="51" x14ac:dyDescent="0.25">
      <c r="B380" s="142" t="s">
        <v>379</v>
      </c>
      <c r="C380" s="7" t="s">
        <v>569</v>
      </c>
      <c r="D380" s="4" t="s">
        <v>34</v>
      </c>
      <c r="E380" s="16">
        <v>4</v>
      </c>
      <c r="F380" s="132"/>
      <c r="G380" s="143"/>
    </row>
    <row r="381" spans="2:7" ht="38.25" x14ac:dyDescent="0.25">
      <c r="B381" s="142" t="s">
        <v>380</v>
      </c>
      <c r="C381" s="7" t="s">
        <v>41</v>
      </c>
      <c r="D381" s="4" t="s">
        <v>34</v>
      </c>
      <c r="E381" s="16">
        <v>2</v>
      </c>
      <c r="F381" s="132"/>
      <c r="G381" s="143"/>
    </row>
    <row r="382" spans="2:7" ht="25.5" x14ac:dyDescent="0.25">
      <c r="B382" s="142" t="s">
        <v>381</v>
      </c>
      <c r="C382" s="7" t="s">
        <v>40</v>
      </c>
      <c r="D382" s="4" t="s">
        <v>34</v>
      </c>
      <c r="E382" s="16">
        <v>1</v>
      </c>
      <c r="F382" s="132"/>
      <c r="G382" s="143"/>
    </row>
    <row r="383" spans="2:7" ht="25.5" x14ac:dyDescent="0.25">
      <c r="B383" s="142" t="s">
        <v>573</v>
      </c>
      <c r="C383" s="11" t="s">
        <v>42</v>
      </c>
      <c r="D383" s="1" t="s">
        <v>34</v>
      </c>
      <c r="E383" s="16">
        <v>1</v>
      </c>
      <c r="F383" s="132"/>
      <c r="G383" s="143"/>
    </row>
    <row r="384" spans="2:7" ht="25.15" customHeight="1" thickBot="1" x14ac:dyDescent="0.3">
      <c r="B384" s="235" t="s">
        <v>89</v>
      </c>
      <c r="C384" s="236"/>
      <c r="D384" s="236"/>
      <c r="E384" s="236"/>
      <c r="F384" s="236"/>
      <c r="G384" s="95"/>
    </row>
    <row r="385" spans="2:7" ht="15.75" x14ac:dyDescent="0.25">
      <c r="B385" s="226" t="s">
        <v>47</v>
      </c>
      <c r="C385" s="227"/>
      <c r="D385" s="227"/>
      <c r="E385" s="227"/>
      <c r="F385" s="227"/>
      <c r="G385" s="228"/>
    </row>
    <row r="386" spans="2:7" ht="17.25" thickBot="1" x14ac:dyDescent="0.3">
      <c r="B386" s="119" t="s">
        <v>158</v>
      </c>
      <c r="C386" s="211" t="s">
        <v>162</v>
      </c>
      <c r="D386" s="212"/>
      <c r="E386" s="212"/>
      <c r="F386" s="212"/>
      <c r="G386" s="213"/>
    </row>
    <row r="387" spans="2:7" ht="33" x14ac:dyDescent="0.25">
      <c r="B387" s="140" t="s">
        <v>0</v>
      </c>
      <c r="C387" s="54" t="s">
        <v>1</v>
      </c>
      <c r="D387" s="54" t="s">
        <v>2</v>
      </c>
      <c r="E387" s="91" t="s">
        <v>3</v>
      </c>
      <c r="F387" s="92" t="s">
        <v>4</v>
      </c>
      <c r="G387" s="141" t="s">
        <v>5</v>
      </c>
    </row>
    <row r="388" spans="2:7" ht="16.5" x14ac:dyDescent="0.25">
      <c r="B388" s="109" t="s">
        <v>48</v>
      </c>
      <c r="C388" s="18" t="s">
        <v>6</v>
      </c>
      <c r="D388" s="19"/>
      <c r="E388" s="20"/>
      <c r="F388" s="21"/>
      <c r="G388" s="131"/>
    </row>
    <row r="389" spans="2:7" ht="38.25" x14ac:dyDescent="0.25">
      <c r="B389" s="110" t="s">
        <v>382</v>
      </c>
      <c r="C389" s="11" t="s">
        <v>102</v>
      </c>
      <c r="D389" s="1" t="s">
        <v>34</v>
      </c>
      <c r="E389" s="2">
        <v>1</v>
      </c>
      <c r="F389" s="132"/>
      <c r="G389" s="66"/>
    </row>
    <row r="390" spans="2:7" ht="25.5" x14ac:dyDescent="0.25">
      <c r="B390" s="110" t="s">
        <v>383</v>
      </c>
      <c r="C390" s="3" t="s">
        <v>84</v>
      </c>
      <c r="D390" s="4" t="s">
        <v>43</v>
      </c>
      <c r="E390" s="5">
        <f>868-E391-E393</f>
        <v>330.5</v>
      </c>
      <c r="F390" s="132"/>
      <c r="G390" s="30"/>
    </row>
    <row r="391" spans="2:7" ht="25.5" x14ac:dyDescent="0.25">
      <c r="B391" s="110" t="s">
        <v>384</v>
      </c>
      <c r="C391" s="6" t="s">
        <v>61</v>
      </c>
      <c r="D391" s="4" t="s">
        <v>43</v>
      </c>
      <c r="E391" s="5">
        <f>537.5-E393</f>
        <v>505.5</v>
      </c>
      <c r="F391" s="132"/>
      <c r="G391" s="30"/>
    </row>
    <row r="392" spans="2:7" ht="25.5" x14ac:dyDescent="0.25">
      <c r="B392" s="110" t="s">
        <v>385</v>
      </c>
      <c r="C392" s="7" t="s">
        <v>10</v>
      </c>
      <c r="D392" s="4" t="s">
        <v>43</v>
      </c>
      <c r="E392" s="2">
        <v>40</v>
      </c>
      <c r="F392" s="132"/>
      <c r="G392" s="30"/>
    </row>
    <row r="393" spans="2:7" x14ac:dyDescent="0.25">
      <c r="B393" s="110" t="s">
        <v>386</v>
      </c>
      <c r="C393" s="7" t="s">
        <v>11</v>
      </c>
      <c r="D393" s="4" t="s">
        <v>43</v>
      </c>
      <c r="E393" s="2">
        <v>32</v>
      </c>
      <c r="F393" s="132"/>
      <c r="G393" s="30"/>
    </row>
    <row r="394" spans="2:7" ht="25.5" x14ac:dyDescent="0.25">
      <c r="B394" s="110" t="s">
        <v>387</v>
      </c>
      <c r="C394" s="8" t="s">
        <v>12</v>
      </c>
      <c r="D394" s="1" t="s">
        <v>13</v>
      </c>
      <c r="E394" s="2">
        <v>18.5</v>
      </c>
      <c r="F394" s="132"/>
      <c r="G394" s="30"/>
    </row>
    <row r="395" spans="2:7" x14ac:dyDescent="0.25">
      <c r="B395" s="110" t="s">
        <v>388</v>
      </c>
      <c r="C395" s="7" t="s">
        <v>14</v>
      </c>
      <c r="D395" s="4" t="s">
        <v>43</v>
      </c>
      <c r="E395" s="2">
        <v>13.5</v>
      </c>
      <c r="F395" s="132"/>
      <c r="G395" s="30"/>
    </row>
    <row r="396" spans="2:7" ht="16.5" x14ac:dyDescent="0.25">
      <c r="B396" s="109" t="s">
        <v>49</v>
      </c>
      <c r="C396" s="18" t="s">
        <v>15</v>
      </c>
      <c r="D396" s="22"/>
      <c r="E396" s="23"/>
      <c r="F396" s="21"/>
      <c r="G396" s="152"/>
    </row>
    <row r="397" spans="2:7" ht="25.5" x14ac:dyDescent="0.25">
      <c r="B397" s="111" t="s">
        <v>390</v>
      </c>
      <c r="C397" s="9" t="s">
        <v>16</v>
      </c>
      <c r="D397" s="10" t="s">
        <v>44</v>
      </c>
      <c r="E397" s="5">
        <f>E401*0.43+E404*0.43+E405*0.33-E391*0.4-E392*0.08-E393*0.15-E395*0.08+E398</f>
        <v>153.60939999999994</v>
      </c>
      <c r="F397" s="132"/>
      <c r="G397" s="30"/>
    </row>
    <row r="398" spans="2:7" ht="25.5" x14ac:dyDescent="0.25">
      <c r="B398" s="111" t="s">
        <v>391</v>
      </c>
      <c r="C398" s="9" t="s">
        <v>17</v>
      </c>
      <c r="D398" s="10" t="s">
        <v>44</v>
      </c>
      <c r="E398" s="2">
        <v>59</v>
      </c>
      <c r="F398" s="132"/>
      <c r="G398" s="30"/>
    </row>
    <row r="399" spans="2:7" x14ac:dyDescent="0.25">
      <c r="B399" s="111" t="s">
        <v>392</v>
      </c>
      <c r="C399" s="9" t="s">
        <v>18</v>
      </c>
      <c r="D399" s="10" t="s">
        <v>45</v>
      </c>
      <c r="E399" s="2">
        <f>E401+E404+E405</f>
        <v>716.57999999999993</v>
      </c>
      <c r="F399" s="132"/>
      <c r="G399" s="30"/>
    </row>
    <row r="400" spans="2:7" ht="16.5" x14ac:dyDescent="0.25">
      <c r="B400" s="109" t="s">
        <v>50</v>
      </c>
      <c r="C400" s="18" t="s">
        <v>19</v>
      </c>
      <c r="D400" s="22"/>
      <c r="E400" s="23"/>
      <c r="F400" s="21"/>
      <c r="G400" s="152"/>
    </row>
    <row r="401" spans="2:7" ht="27" x14ac:dyDescent="0.25">
      <c r="B401" s="110" t="s">
        <v>393</v>
      </c>
      <c r="C401" s="53" t="s">
        <v>416</v>
      </c>
      <c r="D401" s="1" t="s">
        <v>45</v>
      </c>
      <c r="E401" s="2">
        <f>E410*1.1</f>
        <v>141.35000000000002</v>
      </c>
      <c r="F401" s="132"/>
      <c r="G401" s="59"/>
    </row>
    <row r="402" spans="2:7" ht="40.5" x14ac:dyDescent="0.25">
      <c r="B402" s="110" t="s">
        <v>394</v>
      </c>
      <c r="C402" s="53" t="s">
        <v>20</v>
      </c>
      <c r="D402" s="1" t="s">
        <v>45</v>
      </c>
      <c r="E402" s="2">
        <f>E407+E408</f>
        <v>552.82999999999993</v>
      </c>
      <c r="F402" s="132"/>
      <c r="G402" s="30"/>
    </row>
    <row r="403" spans="2:7" ht="27" x14ac:dyDescent="0.25">
      <c r="B403" s="110" t="s">
        <v>395</v>
      </c>
      <c r="C403" s="53" t="s">
        <v>21</v>
      </c>
      <c r="D403" s="1" t="s">
        <v>45</v>
      </c>
      <c r="E403" s="2">
        <f>E409</f>
        <v>22.4</v>
      </c>
      <c r="F403" s="132"/>
      <c r="G403" s="30"/>
    </row>
    <row r="404" spans="2:7" ht="27" x14ac:dyDescent="0.25">
      <c r="B404" s="110" t="s">
        <v>396</v>
      </c>
      <c r="C404" s="53" t="s">
        <v>570</v>
      </c>
      <c r="D404" s="1" t="s">
        <v>45</v>
      </c>
      <c r="E404" s="2">
        <f>E408+E407</f>
        <v>552.82999999999993</v>
      </c>
      <c r="F404" s="132"/>
      <c r="G404" s="30"/>
    </row>
    <row r="405" spans="2:7" ht="27" x14ac:dyDescent="0.25">
      <c r="B405" s="110" t="s">
        <v>397</v>
      </c>
      <c r="C405" s="53" t="s">
        <v>23</v>
      </c>
      <c r="D405" s="1" t="s">
        <v>45</v>
      </c>
      <c r="E405" s="2">
        <f>E409</f>
        <v>22.4</v>
      </c>
      <c r="F405" s="132"/>
      <c r="G405" s="30"/>
    </row>
    <row r="406" spans="2:7" ht="16.5" x14ac:dyDescent="0.25">
      <c r="B406" s="109" t="s">
        <v>51</v>
      </c>
      <c r="C406" s="18" t="s">
        <v>24</v>
      </c>
      <c r="D406" s="22"/>
      <c r="E406" s="23"/>
      <c r="F406" s="21"/>
      <c r="G406" s="152"/>
    </row>
    <row r="407" spans="2:7" ht="25.5" x14ac:dyDescent="0.25">
      <c r="B407" s="110" t="s">
        <v>398</v>
      </c>
      <c r="C407" s="12" t="s">
        <v>571</v>
      </c>
      <c r="D407" s="1" t="s">
        <v>45</v>
      </c>
      <c r="E407" s="2">
        <v>486.33</v>
      </c>
      <c r="F407" s="132"/>
      <c r="G407" s="30"/>
    </row>
    <row r="408" spans="2:7" ht="25.5" x14ac:dyDescent="0.25">
      <c r="B408" s="110" t="s">
        <v>399</v>
      </c>
      <c r="C408" s="12" t="s">
        <v>25</v>
      </c>
      <c r="D408" s="1" t="s">
        <v>45</v>
      </c>
      <c r="E408" s="2">
        <v>66.5</v>
      </c>
      <c r="F408" s="132"/>
      <c r="G408" s="30"/>
    </row>
    <row r="409" spans="2:7" ht="25.5" x14ac:dyDescent="0.25">
      <c r="B409" s="110" t="s">
        <v>389</v>
      </c>
      <c r="C409" s="12" t="s">
        <v>26</v>
      </c>
      <c r="D409" s="1" t="s">
        <v>45</v>
      </c>
      <c r="E409" s="2">
        <v>22.4</v>
      </c>
      <c r="F409" s="132"/>
      <c r="G409" s="30"/>
    </row>
    <row r="410" spans="2:7" ht="28.15" customHeight="1" x14ac:dyDescent="0.25">
      <c r="B410" s="110" t="s">
        <v>400</v>
      </c>
      <c r="C410" s="41" t="s">
        <v>109</v>
      </c>
      <c r="D410" s="15" t="s">
        <v>45</v>
      </c>
      <c r="E410" s="2">
        <v>128.5</v>
      </c>
      <c r="F410" s="132"/>
      <c r="G410" s="59"/>
    </row>
    <row r="411" spans="2:7" ht="16.5" x14ac:dyDescent="0.25">
      <c r="B411" s="109" t="s">
        <v>52</v>
      </c>
      <c r="C411" s="18" t="s">
        <v>27</v>
      </c>
      <c r="D411" s="22"/>
      <c r="E411" s="23"/>
      <c r="F411" s="21"/>
      <c r="G411" s="152"/>
    </row>
    <row r="412" spans="2:7" ht="25.5" x14ac:dyDescent="0.25">
      <c r="B412" s="110" t="s">
        <v>401</v>
      </c>
      <c r="C412" s="7" t="s">
        <v>28</v>
      </c>
      <c r="D412" s="4" t="s">
        <v>29</v>
      </c>
      <c r="E412" s="13">
        <v>157.38999999999999</v>
      </c>
      <c r="F412" s="132"/>
      <c r="G412" s="30"/>
    </row>
    <row r="413" spans="2:7" ht="25.5" x14ac:dyDescent="0.25">
      <c r="B413" s="110" t="s">
        <v>402</v>
      </c>
      <c r="C413" s="7" t="s">
        <v>75</v>
      </c>
      <c r="D413" s="1" t="s">
        <v>29</v>
      </c>
      <c r="E413" s="13">
        <f>5.37+6.04+2.76+4.25</f>
        <v>18.420000000000002</v>
      </c>
      <c r="F413" s="132"/>
      <c r="G413" s="30"/>
    </row>
    <row r="414" spans="2:7" x14ac:dyDescent="0.25">
      <c r="B414" s="110" t="s">
        <v>403</v>
      </c>
      <c r="C414" s="7" t="s">
        <v>100</v>
      </c>
      <c r="D414" s="4" t="s">
        <v>29</v>
      </c>
      <c r="E414" s="5">
        <v>14.4</v>
      </c>
      <c r="F414" s="132"/>
      <c r="G414" s="30"/>
    </row>
    <row r="415" spans="2:7" ht="25.5" x14ac:dyDescent="0.25">
      <c r="B415" s="110" t="s">
        <v>404</v>
      </c>
      <c r="C415" s="7" t="s">
        <v>574</v>
      </c>
      <c r="D415" s="4" t="s">
        <v>29</v>
      </c>
      <c r="E415" s="5">
        <v>22.25</v>
      </c>
      <c r="F415" s="132"/>
      <c r="G415" s="30"/>
    </row>
    <row r="416" spans="2:7" ht="16.5" x14ac:dyDescent="0.25">
      <c r="B416" s="109" t="s">
        <v>57</v>
      </c>
      <c r="C416" s="18" t="s">
        <v>30</v>
      </c>
      <c r="D416" s="22"/>
      <c r="E416" s="23"/>
      <c r="F416" s="21"/>
      <c r="G416" s="152"/>
    </row>
    <row r="417" spans="2:7" x14ac:dyDescent="0.25">
      <c r="B417" s="110" t="s">
        <v>405</v>
      </c>
      <c r="C417" s="9" t="s">
        <v>31</v>
      </c>
      <c r="D417" s="10" t="s">
        <v>32</v>
      </c>
      <c r="E417" s="2">
        <v>2</v>
      </c>
      <c r="F417" s="132"/>
      <c r="G417" s="30"/>
    </row>
    <row r="418" spans="2:7" ht="17.45" customHeight="1" x14ac:dyDescent="0.25">
      <c r="B418" s="110" t="s">
        <v>406</v>
      </c>
      <c r="C418" s="9" t="s">
        <v>576</v>
      </c>
      <c r="D418" s="10" t="s">
        <v>32</v>
      </c>
      <c r="E418" s="2">
        <v>2</v>
      </c>
      <c r="F418" s="132"/>
      <c r="G418" s="30"/>
    </row>
    <row r="419" spans="2:7" x14ac:dyDescent="0.25">
      <c r="B419" s="110" t="s">
        <v>407</v>
      </c>
      <c r="C419" s="8" t="s">
        <v>33</v>
      </c>
      <c r="D419" s="1" t="s">
        <v>34</v>
      </c>
      <c r="E419" s="2">
        <v>1</v>
      </c>
      <c r="F419" s="132"/>
      <c r="G419" s="30"/>
    </row>
    <row r="420" spans="2:7" ht="16.5" x14ac:dyDescent="0.25">
      <c r="B420" s="109" t="s">
        <v>53</v>
      </c>
      <c r="C420" s="18" t="s">
        <v>35</v>
      </c>
      <c r="D420" s="22"/>
      <c r="E420" s="23"/>
      <c r="F420" s="21"/>
      <c r="G420" s="152"/>
    </row>
    <row r="421" spans="2:7" x14ac:dyDescent="0.25">
      <c r="B421" s="111" t="s">
        <v>408</v>
      </c>
      <c r="C421" s="11" t="s">
        <v>36</v>
      </c>
      <c r="D421" s="15" t="s">
        <v>45</v>
      </c>
      <c r="E421" s="5">
        <v>295</v>
      </c>
      <c r="F421" s="132"/>
      <c r="G421" s="153"/>
    </row>
    <row r="422" spans="2:7" ht="16.5" x14ac:dyDescent="0.25">
      <c r="B422" s="113" t="s">
        <v>54</v>
      </c>
      <c r="C422" s="25" t="s">
        <v>56</v>
      </c>
      <c r="D422" s="22"/>
      <c r="E422" s="23"/>
      <c r="F422" s="24"/>
      <c r="G422" s="152"/>
    </row>
    <row r="423" spans="2:7" x14ac:dyDescent="0.25">
      <c r="B423" s="110" t="s">
        <v>409</v>
      </c>
      <c r="C423" s="11" t="s">
        <v>38</v>
      </c>
      <c r="D423" s="1" t="s">
        <v>29</v>
      </c>
      <c r="E423" s="2">
        <v>81</v>
      </c>
      <c r="F423" s="132"/>
      <c r="G423" s="30"/>
    </row>
    <row r="424" spans="2:7" ht="16.5" x14ac:dyDescent="0.25">
      <c r="B424" s="113" t="s">
        <v>55</v>
      </c>
      <c r="C424" s="25" t="s">
        <v>39</v>
      </c>
      <c r="D424" s="22"/>
      <c r="E424" s="23"/>
      <c r="F424" s="24"/>
      <c r="G424" s="152"/>
    </row>
    <row r="425" spans="2:7" ht="25.5" x14ac:dyDescent="0.25">
      <c r="B425" s="142" t="s">
        <v>410</v>
      </c>
      <c r="C425" s="7" t="s">
        <v>40</v>
      </c>
      <c r="D425" s="4" t="s">
        <v>34</v>
      </c>
      <c r="E425" s="16">
        <v>2</v>
      </c>
      <c r="F425" s="132"/>
      <c r="G425" s="30"/>
    </row>
    <row r="426" spans="2:7" ht="25.5" x14ac:dyDescent="0.25">
      <c r="B426" s="142" t="s">
        <v>575</v>
      </c>
      <c r="C426" s="11" t="s">
        <v>42</v>
      </c>
      <c r="D426" s="1" t="s">
        <v>34</v>
      </c>
      <c r="E426" s="16">
        <v>1</v>
      </c>
      <c r="F426" s="132"/>
      <c r="G426" s="30"/>
    </row>
    <row r="427" spans="2:7" ht="23.45" customHeight="1" thickBot="1" x14ac:dyDescent="0.3">
      <c r="B427" s="232" t="s">
        <v>85</v>
      </c>
      <c r="C427" s="233"/>
      <c r="D427" s="233"/>
      <c r="E427" s="233"/>
      <c r="F427" s="234"/>
      <c r="G427" s="154"/>
    </row>
    <row r="428" spans="2:7" ht="15.75" thickBot="1" x14ac:dyDescent="0.3"/>
    <row r="429" spans="2:7" ht="66" customHeight="1" thickBot="1" x14ac:dyDescent="0.3">
      <c r="B429" s="217" t="s">
        <v>578</v>
      </c>
      <c r="C429" s="218"/>
      <c r="D429" s="218"/>
      <c r="E429" s="218"/>
      <c r="F429" s="218"/>
      <c r="G429" s="219"/>
    </row>
    <row r="430" spans="2:7" x14ac:dyDescent="0.25">
      <c r="B430" s="220" t="s">
        <v>147</v>
      </c>
      <c r="C430" s="222" t="s">
        <v>148</v>
      </c>
      <c r="D430" s="222"/>
      <c r="E430" s="222"/>
      <c r="F430" s="222"/>
      <c r="G430" s="223"/>
    </row>
    <row r="431" spans="2:7" x14ac:dyDescent="0.25">
      <c r="B431" s="221"/>
      <c r="C431" s="224"/>
      <c r="D431" s="224"/>
      <c r="E431" s="224"/>
      <c r="F431" s="224"/>
      <c r="G431" s="225"/>
    </row>
    <row r="432" spans="2:7" x14ac:dyDescent="0.25">
      <c r="B432" s="221"/>
      <c r="C432" s="224"/>
      <c r="D432" s="224"/>
      <c r="E432" s="224"/>
      <c r="F432" s="224"/>
      <c r="G432" s="225"/>
    </row>
    <row r="433" spans="2:8" ht="16.5" x14ac:dyDescent="0.25">
      <c r="B433" s="200"/>
      <c r="C433" s="201"/>
      <c r="D433" s="201"/>
      <c r="E433" s="201"/>
      <c r="F433" s="201"/>
      <c r="G433" s="202"/>
    </row>
    <row r="434" spans="2:8" ht="33" x14ac:dyDescent="0.25">
      <c r="B434" s="104" t="s">
        <v>149</v>
      </c>
      <c r="C434" s="203" t="s">
        <v>155</v>
      </c>
      <c r="D434" s="203"/>
      <c r="E434" s="203"/>
      <c r="F434" s="203"/>
      <c r="G434" s="204"/>
    </row>
    <row r="435" spans="2:8" ht="33" x14ac:dyDescent="0.25">
      <c r="B435" s="104" t="s">
        <v>150</v>
      </c>
      <c r="C435" s="205" t="s">
        <v>151</v>
      </c>
      <c r="D435" s="205"/>
      <c r="E435" s="205"/>
      <c r="F435" s="205"/>
      <c r="G435" s="206"/>
    </row>
    <row r="436" spans="2:8" ht="16.5" x14ac:dyDescent="0.25">
      <c r="B436" s="105" t="s">
        <v>152</v>
      </c>
      <c r="C436" s="207" t="s">
        <v>157</v>
      </c>
      <c r="D436" s="207"/>
      <c r="E436" s="207"/>
      <c r="F436" s="207"/>
      <c r="G436" s="208"/>
    </row>
    <row r="437" spans="2:8" ht="17.25" thickBot="1" x14ac:dyDescent="0.3">
      <c r="B437" s="106" t="s">
        <v>153</v>
      </c>
      <c r="C437" s="209" t="s">
        <v>156</v>
      </c>
      <c r="D437" s="209"/>
      <c r="E437" s="209"/>
      <c r="F437" s="209"/>
      <c r="G437" s="210"/>
    </row>
    <row r="438" spans="2:8" ht="33.75" thickBot="1" x14ac:dyDescent="0.3">
      <c r="B438" s="117" t="s">
        <v>511</v>
      </c>
      <c r="C438" s="81" t="s">
        <v>512</v>
      </c>
      <c r="D438" s="191" t="s">
        <v>524</v>
      </c>
      <c r="E438" s="192"/>
      <c r="F438" s="158" t="s">
        <v>525</v>
      </c>
      <c r="G438" s="159" t="s">
        <v>526</v>
      </c>
    </row>
    <row r="439" spans="2:8" s="133" customFormat="1" ht="15.75" x14ac:dyDescent="0.25">
      <c r="B439" s="197" t="s">
        <v>513</v>
      </c>
      <c r="C439" s="189" t="s">
        <v>527</v>
      </c>
      <c r="D439" s="181" t="s">
        <v>528</v>
      </c>
      <c r="E439" s="182"/>
      <c r="F439" s="134"/>
      <c r="G439" s="136"/>
      <c r="H439" s="151"/>
    </row>
    <row r="440" spans="2:8" s="133" customFormat="1" ht="16.5" thickBot="1" x14ac:dyDescent="0.3">
      <c r="B440" s="198"/>
      <c r="C440" s="190"/>
      <c r="D440" s="183" t="s">
        <v>529</v>
      </c>
      <c r="E440" s="184"/>
      <c r="F440" s="135"/>
      <c r="G440" s="138"/>
      <c r="H440" s="151"/>
    </row>
    <row r="441" spans="2:8" s="133" customFormat="1" ht="15.75" x14ac:dyDescent="0.25">
      <c r="B441" s="187" t="s">
        <v>514</v>
      </c>
      <c r="C441" s="189" t="s">
        <v>163</v>
      </c>
      <c r="D441" s="181" t="s">
        <v>528</v>
      </c>
      <c r="E441" s="182"/>
      <c r="F441" s="134"/>
      <c r="G441" s="136"/>
      <c r="H441" s="151"/>
    </row>
    <row r="442" spans="2:8" s="133" customFormat="1" ht="16.5" thickBot="1" x14ac:dyDescent="0.3">
      <c r="B442" s="188"/>
      <c r="C442" s="190"/>
      <c r="D442" s="183" t="s">
        <v>529</v>
      </c>
      <c r="E442" s="184"/>
      <c r="F442" s="137"/>
      <c r="G442" s="138"/>
      <c r="H442" s="151"/>
    </row>
    <row r="443" spans="2:8" s="133" customFormat="1" ht="15.75" x14ac:dyDescent="0.25">
      <c r="B443" s="187" t="s">
        <v>515</v>
      </c>
      <c r="C443" s="189" t="s">
        <v>183</v>
      </c>
      <c r="D443" s="181" t="s">
        <v>528</v>
      </c>
      <c r="E443" s="182"/>
      <c r="F443" s="134"/>
      <c r="G443" s="136"/>
      <c r="H443" s="151"/>
    </row>
    <row r="444" spans="2:8" s="133" customFormat="1" ht="16.5" thickBot="1" x14ac:dyDescent="0.3">
      <c r="B444" s="188"/>
      <c r="C444" s="190"/>
      <c r="D444" s="183" t="s">
        <v>529</v>
      </c>
      <c r="E444" s="184"/>
      <c r="F444" s="137"/>
      <c r="G444" s="138"/>
      <c r="H444" s="151"/>
    </row>
    <row r="445" spans="2:8" s="133" customFormat="1" ht="15.75" x14ac:dyDescent="0.25">
      <c r="B445" s="187" t="s">
        <v>516</v>
      </c>
      <c r="C445" s="189" t="s">
        <v>186</v>
      </c>
      <c r="D445" s="181" t="s">
        <v>528</v>
      </c>
      <c r="E445" s="182"/>
      <c r="F445" s="134"/>
      <c r="G445" s="136"/>
      <c r="H445" s="151"/>
    </row>
    <row r="446" spans="2:8" s="133" customFormat="1" ht="16.5" thickBot="1" x14ac:dyDescent="0.3">
      <c r="B446" s="188"/>
      <c r="C446" s="190"/>
      <c r="D446" s="183" t="s">
        <v>529</v>
      </c>
      <c r="E446" s="184"/>
      <c r="F446" s="137"/>
      <c r="G446" s="138"/>
      <c r="H446" s="151"/>
    </row>
    <row r="447" spans="2:8" s="133" customFormat="1" ht="15.75" x14ac:dyDescent="0.25">
      <c r="B447" s="187" t="s">
        <v>517</v>
      </c>
      <c r="C447" s="189" t="s">
        <v>190</v>
      </c>
      <c r="D447" s="181" t="s">
        <v>528</v>
      </c>
      <c r="E447" s="182"/>
      <c r="F447" s="134"/>
      <c r="G447" s="136"/>
      <c r="H447" s="151"/>
    </row>
    <row r="448" spans="2:8" s="133" customFormat="1" ht="16.5" thickBot="1" x14ac:dyDescent="0.3">
      <c r="B448" s="188"/>
      <c r="C448" s="190"/>
      <c r="D448" s="183" t="s">
        <v>529</v>
      </c>
      <c r="E448" s="184"/>
      <c r="F448" s="137"/>
      <c r="G448" s="138"/>
      <c r="H448" s="151"/>
    </row>
    <row r="449" spans="2:8" s="133" customFormat="1" ht="15.75" x14ac:dyDescent="0.25">
      <c r="B449" s="187" t="s">
        <v>518</v>
      </c>
      <c r="C449" s="189" t="s">
        <v>103</v>
      </c>
      <c r="D449" s="181" t="s">
        <v>528</v>
      </c>
      <c r="E449" s="182"/>
      <c r="F449" s="134"/>
      <c r="G449" s="136"/>
      <c r="H449" s="151"/>
    </row>
    <row r="450" spans="2:8" s="133" customFormat="1" ht="16.5" thickBot="1" x14ac:dyDescent="0.3">
      <c r="B450" s="188"/>
      <c r="C450" s="190"/>
      <c r="D450" s="183" t="s">
        <v>529</v>
      </c>
      <c r="E450" s="184"/>
      <c r="F450" s="137"/>
      <c r="G450" s="138"/>
      <c r="H450" s="151"/>
    </row>
    <row r="451" spans="2:8" s="133" customFormat="1" ht="15.75" x14ac:dyDescent="0.25">
      <c r="B451" s="185" t="s">
        <v>519</v>
      </c>
      <c r="C451" s="193" t="s">
        <v>193</v>
      </c>
      <c r="D451" s="181" t="s">
        <v>528</v>
      </c>
      <c r="E451" s="182"/>
      <c r="F451" s="134"/>
      <c r="G451" s="136"/>
      <c r="H451" s="151"/>
    </row>
    <row r="452" spans="2:8" s="133" customFormat="1" ht="16.5" thickBot="1" x14ac:dyDescent="0.3">
      <c r="B452" s="199"/>
      <c r="C452" s="194"/>
      <c r="D452" s="183" t="s">
        <v>529</v>
      </c>
      <c r="E452" s="184"/>
      <c r="F452" s="137"/>
      <c r="G452" s="138"/>
      <c r="H452" s="151"/>
    </row>
    <row r="453" spans="2:8" s="133" customFormat="1" ht="15.75" x14ac:dyDescent="0.25">
      <c r="B453" s="185" t="s">
        <v>520</v>
      </c>
      <c r="C453" s="193" t="s">
        <v>195</v>
      </c>
      <c r="D453" s="181" t="s">
        <v>528</v>
      </c>
      <c r="E453" s="182"/>
      <c r="F453" s="134"/>
      <c r="G453" s="136"/>
      <c r="H453" s="151"/>
    </row>
    <row r="454" spans="2:8" s="133" customFormat="1" ht="16.5" thickBot="1" x14ac:dyDescent="0.3">
      <c r="B454" s="199"/>
      <c r="C454" s="194"/>
      <c r="D454" s="183" t="s">
        <v>529</v>
      </c>
      <c r="E454" s="184"/>
      <c r="F454" s="137"/>
      <c r="G454" s="138"/>
      <c r="H454" s="151"/>
    </row>
    <row r="455" spans="2:8" s="133" customFormat="1" ht="15.75" x14ac:dyDescent="0.25">
      <c r="B455" s="185" t="s">
        <v>521</v>
      </c>
      <c r="C455" s="193" t="s">
        <v>86</v>
      </c>
      <c r="D455" s="181" t="s">
        <v>528</v>
      </c>
      <c r="E455" s="182"/>
      <c r="F455" s="134"/>
      <c r="G455" s="136"/>
      <c r="H455" s="151"/>
    </row>
    <row r="456" spans="2:8" s="133" customFormat="1" ht="16.5" thickBot="1" x14ac:dyDescent="0.3">
      <c r="B456" s="199"/>
      <c r="C456" s="194"/>
      <c r="D456" s="183" t="s">
        <v>529</v>
      </c>
      <c r="E456" s="184"/>
      <c r="F456" s="137"/>
      <c r="G456" s="138"/>
      <c r="H456" s="151"/>
    </row>
    <row r="457" spans="2:8" s="133" customFormat="1" ht="15.75" x14ac:dyDescent="0.25">
      <c r="B457" s="187" t="s">
        <v>522</v>
      </c>
      <c r="C457" s="189" t="s">
        <v>88</v>
      </c>
      <c r="D457" s="181" t="s">
        <v>528</v>
      </c>
      <c r="E457" s="182"/>
      <c r="F457" s="134"/>
      <c r="G457" s="136"/>
      <c r="H457" s="151"/>
    </row>
    <row r="458" spans="2:8" s="133" customFormat="1" ht="16.5" thickBot="1" x14ac:dyDescent="0.3">
      <c r="B458" s="188"/>
      <c r="C458" s="190"/>
      <c r="D458" s="183" t="s">
        <v>529</v>
      </c>
      <c r="E458" s="184"/>
      <c r="F458" s="137"/>
      <c r="G458" s="138"/>
      <c r="H458" s="151"/>
    </row>
    <row r="459" spans="2:8" s="133" customFormat="1" ht="15.75" x14ac:dyDescent="0.25">
      <c r="B459" s="185" t="s">
        <v>523</v>
      </c>
      <c r="C459" s="195" t="s">
        <v>47</v>
      </c>
      <c r="D459" s="181" t="s">
        <v>528</v>
      </c>
      <c r="E459" s="182"/>
      <c r="F459" s="134"/>
      <c r="G459" s="136"/>
      <c r="H459" s="151"/>
    </row>
    <row r="460" spans="2:8" s="133" customFormat="1" ht="16.5" thickBot="1" x14ac:dyDescent="0.3">
      <c r="B460" s="186"/>
      <c r="C460" s="196"/>
      <c r="D460" s="183" t="s">
        <v>529</v>
      </c>
      <c r="E460" s="184"/>
      <c r="F460" s="137"/>
      <c r="G460" s="138"/>
      <c r="H460" s="151"/>
    </row>
    <row r="461" spans="2:8" ht="20.25" x14ac:dyDescent="0.25">
      <c r="B461" s="169" t="s">
        <v>530</v>
      </c>
      <c r="C461" s="170"/>
      <c r="D461" s="170"/>
      <c r="E461" s="170"/>
      <c r="F461" s="171"/>
      <c r="G461" s="172"/>
    </row>
    <row r="462" spans="2:8" ht="20.25" x14ac:dyDescent="0.25">
      <c r="B462" s="173" t="s">
        <v>531</v>
      </c>
      <c r="C462" s="174"/>
      <c r="D462" s="174"/>
      <c r="E462" s="174"/>
      <c r="F462" s="175"/>
      <c r="G462" s="176"/>
    </row>
    <row r="463" spans="2:8" ht="21" thickBot="1" x14ac:dyDescent="0.3">
      <c r="B463" s="177" t="s">
        <v>533</v>
      </c>
      <c r="C463" s="178"/>
      <c r="D463" s="178"/>
      <c r="E463" s="178"/>
      <c r="F463" s="179"/>
      <c r="G463" s="180"/>
    </row>
    <row r="464" spans="2:8" ht="21" thickBot="1" x14ac:dyDescent="0.3">
      <c r="B464" s="165" t="s">
        <v>532</v>
      </c>
      <c r="C464" s="166"/>
      <c r="D464" s="166"/>
      <c r="E464" s="166"/>
      <c r="F464" s="167"/>
      <c r="G464" s="168"/>
    </row>
    <row r="465" ht="52.15" customHeight="1" x14ac:dyDescent="0.25"/>
    <row r="466" ht="52.15" customHeight="1" x14ac:dyDescent="0.25"/>
    <row r="467" ht="52.15" customHeight="1" x14ac:dyDescent="0.25"/>
    <row r="468" ht="52.15" customHeight="1" x14ac:dyDescent="0.25"/>
  </sheetData>
  <mergeCells count="102">
    <mergeCell ref="C10:G10"/>
    <mergeCell ref="B2:G2"/>
    <mergeCell ref="C12:G12"/>
    <mergeCell ref="C195:G195"/>
    <mergeCell ref="B3:B5"/>
    <mergeCell ref="C3:G5"/>
    <mergeCell ref="B6:G6"/>
    <mergeCell ref="C7:G7"/>
    <mergeCell ref="C8:G8"/>
    <mergeCell ref="C9:G9"/>
    <mergeCell ref="B194:G194"/>
    <mergeCell ref="B11:G11"/>
    <mergeCell ref="B62:F62"/>
    <mergeCell ref="B101:G101"/>
    <mergeCell ref="B63:G63"/>
    <mergeCell ref="C64:G64"/>
    <mergeCell ref="B100:F100"/>
    <mergeCell ref="C102:G102"/>
    <mergeCell ref="B135:F135"/>
    <mergeCell ref="B136:G136"/>
    <mergeCell ref="C137:G137"/>
    <mergeCell ref="B161:F161"/>
    <mergeCell ref="B162:G162"/>
    <mergeCell ref="C163:G163"/>
    <mergeCell ref="B193:F193"/>
    <mergeCell ref="B225:G225"/>
    <mergeCell ref="C226:G226"/>
    <mergeCell ref="B256:F256"/>
    <mergeCell ref="B257:G257"/>
    <mergeCell ref="B427:F427"/>
    <mergeCell ref="B291:G291"/>
    <mergeCell ref="B341:F341"/>
    <mergeCell ref="B342:G342"/>
    <mergeCell ref="B384:F384"/>
    <mergeCell ref="C292:G292"/>
    <mergeCell ref="C343:G343"/>
    <mergeCell ref="C386:G386"/>
    <mergeCell ref="B224:F224"/>
    <mergeCell ref="B385:G385"/>
    <mergeCell ref="B433:G433"/>
    <mergeCell ref="C434:G434"/>
    <mergeCell ref="C435:G435"/>
    <mergeCell ref="C436:G436"/>
    <mergeCell ref="C437:G437"/>
    <mergeCell ref="C258:G258"/>
    <mergeCell ref="B290:F290"/>
    <mergeCell ref="B429:G429"/>
    <mergeCell ref="B430:B432"/>
    <mergeCell ref="C430:G432"/>
    <mergeCell ref="D438:E438"/>
    <mergeCell ref="C451:C452"/>
    <mergeCell ref="C453:C454"/>
    <mergeCell ref="C455:C456"/>
    <mergeCell ref="C459:C460"/>
    <mergeCell ref="D439:E439"/>
    <mergeCell ref="B439:B440"/>
    <mergeCell ref="C439:C440"/>
    <mergeCell ref="B451:B452"/>
    <mergeCell ref="B453:B454"/>
    <mergeCell ref="B455:B456"/>
    <mergeCell ref="B449:B450"/>
    <mergeCell ref="B445:B446"/>
    <mergeCell ref="D443:E443"/>
    <mergeCell ref="D444:E444"/>
    <mergeCell ref="B443:B444"/>
    <mergeCell ref="C443:C444"/>
    <mergeCell ref="D440:E440"/>
    <mergeCell ref="B441:B442"/>
    <mergeCell ref="C441:C442"/>
    <mergeCell ref="D441:E441"/>
    <mergeCell ref="D442:E442"/>
    <mergeCell ref="C445:C446"/>
    <mergeCell ref="D445:E445"/>
    <mergeCell ref="D446:E446"/>
    <mergeCell ref="D447:E447"/>
    <mergeCell ref="C449:C450"/>
    <mergeCell ref="D449:E449"/>
    <mergeCell ref="D450:E450"/>
    <mergeCell ref="B447:B448"/>
    <mergeCell ref="C447:C448"/>
    <mergeCell ref="D457:E457"/>
    <mergeCell ref="D458:E458"/>
    <mergeCell ref="C457:C458"/>
    <mergeCell ref="B457:B458"/>
    <mergeCell ref="D454:E454"/>
    <mergeCell ref="D455:E455"/>
    <mergeCell ref="D456:E456"/>
    <mergeCell ref="D448:E448"/>
    <mergeCell ref="D451:E451"/>
    <mergeCell ref="D452:E452"/>
    <mergeCell ref="D453:E453"/>
    <mergeCell ref="B464:E464"/>
    <mergeCell ref="F464:G464"/>
    <mergeCell ref="B461:E461"/>
    <mergeCell ref="F461:G461"/>
    <mergeCell ref="B462:E462"/>
    <mergeCell ref="F462:G462"/>
    <mergeCell ref="B463:E463"/>
    <mergeCell ref="F463:G463"/>
    <mergeCell ref="D459:E459"/>
    <mergeCell ref="D460:E460"/>
    <mergeCell ref="B459:B460"/>
  </mergeCells>
  <phoneticPr fontId="29" type="noConversion"/>
  <conditionalFormatting sqref="C417:D418 D202 C18:D21">
    <cfRule type="cellIs" dxfId="131" priority="144" operator="equal">
      <formula>0</formula>
    </cfRule>
  </conditionalFormatting>
  <conditionalFormatting sqref="C399:D399">
    <cfRule type="cellIs" dxfId="130" priority="141" operator="equal">
      <formula>0</formula>
    </cfRule>
  </conditionalFormatting>
  <conditionalFormatting sqref="C397:D398">
    <cfRule type="cellIs" dxfId="129" priority="142" operator="equal">
      <formula>0</formula>
    </cfRule>
  </conditionalFormatting>
  <conditionalFormatting sqref="C394:D395">
    <cfRule type="cellIs" dxfId="128" priority="140" operator="equal">
      <formula>0</formula>
    </cfRule>
  </conditionalFormatting>
  <conditionalFormatting sqref="C392:D392">
    <cfRule type="cellIs" dxfId="127" priority="139" operator="equal">
      <formula>0</formula>
    </cfRule>
  </conditionalFormatting>
  <conditionalFormatting sqref="D391">
    <cfRule type="cellIs" dxfId="126" priority="138" operator="equal">
      <formula>0</formula>
    </cfRule>
  </conditionalFormatting>
  <conditionalFormatting sqref="D390">
    <cfRule type="cellIs" dxfId="125" priority="137" operator="equal">
      <formula>0</formula>
    </cfRule>
  </conditionalFormatting>
  <conditionalFormatting sqref="C393:D393">
    <cfRule type="cellIs" dxfId="124" priority="136" operator="equal">
      <formula>0</formula>
    </cfRule>
  </conditionalFormatting>
  <conditionalFormatting sqref="D421">
    <cfRule type="cellIs" dxfId="123" priority="135" operator="equal">
      <formula>0</formula>
    </cfRule>
  </conditionalFormatting>
  <conditionalFormatting sqref="C326:D327">
    <cfRule type="cellIs" dxfId="122" priority="134" operator="equal">
      <formula>0</formula>
    </cfRule>
  </conditionalFormatting>
  <conditionalFormatting sqref="D331">
    <cfRule type="cellIs" dxfId="121" priority="133" operator="equal">
      <formula>0</formula>
    </cfRule>
  </conditionalFormatting>
  <conditionalFormatting sqref="C295">
    <cfRule type="cellIs" dxfId="120" priority="132" operator="equal">
      <formula>0</formula>
    </cfRule>
  </conditionalFormatting>
  <conditionalFormatting sqref="C302:D303">
    <cfRule type="cellIs" dxfId="119" priority="131" operator="equal">
      <formula>0</formula>
    </cfRule>
  </conditionalFormatting>
  <conditionalFormatting sqref="C308:D308">
    <cfRule type="cellIs" dxfId="118" priority="129" operator="equal">
      <formula>0</formula>
    </cfRule>
  </conditionalFormatting>
  <conditionalFormatting sqref="C306:D307">
    <cfRule type="cellIs" dxfId="117" priority="130" operator="equal">
      <formula>0</formula>
    </cfRule>
  </conditionalFormatting>
  <conditionalFormatting sqref="C301:D301 C297:D299">
    <cfRule type="cellIs" dxfId="116" priority="128" operator="equal">
      <formula>0</formula>
    </cfRule>
  </conditionalFormatting>
  <conditionalFormatting sqref="C300:D300">
    <cfRule type="cellIs" dxfId="115" priority="127" operator="equal">
      <formula>0</formula>
    </cfRule>
  </conditionalFormatting>
  <conditionalFormatting sqref="D296">
    <cfRule type="cellIs" dxfId="114" priority="126" operator="equal">
      <formula>0</formula>
    </cfRule>
  </conditionalFormatting>
  <conditionalFormatting sqref="C304:D304">
    <cfRule type="cellIs" dxfId="113" priority="125" operator="equal">
      <formula>0</formula>
    </cfRule>
  </conditionalFormatting>
  <conditionalFormatting sqref="C328:D328">
    <cfRule type="cellIs" dxfId="112" priority="124" operator="equal">
      <formula>0</formula>
    </cfRule>
  </conditionalFormatting>
  <conditionalFormatting sqref="C370:D371">
    <cfRule type="cellIs" dxfId="111" priority="123" operator="equal">
      <formula>0</formula>
    </cfRule>
  </conditionalFormatting>
  <conditionalFormatting sqref="D374">
    <cfRule type="cellIs" dxfId="110" priority="122" operator="equal">
      <formula>0</formula>
    </cfRule>
  </conditionalFormatting>
  <conditionalFormatting sqref="C346">
    <cfRule type="cellIs" dxfId="109" priority="121" operator="equal">
      <formula>0</formula>
    </cfRule>
  </conditionalFormatting>
  <conditionalFormatting sqref="C355:D355">
    <cfRule type="cellIs" dxfId="108" priority="118" operator="equal">
      <formula>0</formula>
    </cfRule>
  </conditionalFormatting>
  <conditionalFormatting sqref="C353:D354">
    <cfRule type="cellIs" dxfId="107" priority="119" operator="equal">
      <formula>0</formula>
    </cfRule>
  </conditionalFormatting>
  <conditionalFormatting sqref="C351:D351 C348:D349">
    <cfRule type="cellIs" dxfId="106" priority="117" operator="equal">
      <formula>0</formula>
    </cfRule>
  </conditionalFormatting>
  <conditionalFormatting sqref="C350:D350">
    <cfRule type="cellIs" dxfId="105" priority="116" operator="equal">
      <formula>0</formula>
    </cfRule>
  </conditionalFormatting>
  <conditionalFormatting sqref="D347">
    <cfRule type="cellIs" dxfId="104" priority="115" operator="equal">
      <formula>0</formula>
    </cfRule>
  </conditionalFormatting>
  <conditionalFormatting sqref="C389">
    <cfRule type="cellIs" dxfId="103" priority="112" operator="equal">
      <formula>0</formula>
    </cfRule>
  </conditionalFormatting>
  <conditionalFormatting sqref="C215:D216">
    <cfRule type="cellIs" dxfId="102" priority="111" operator="equal">
      <formula>0</formula>
    </cfRule>
  </conditionalFormatting>
  <conditionalFormatting sqref="C212:D212">
    <cfRule type="cellIs" dxfId="101" priority="110" operator="equal">
      <formula>0</formula>
    </cfRule>
  </conditionalFormatting>
  <conditionalFormatting sqref="D219">
    <cfRule type="cellIs" dxfId="100" priority="109" operator="equal">
      <formula>0</formula>
    </cfRule>
  </conditionalFormatting>
  <conditionalFormatting sqref="C220:D220">
    <cfRule type="cellIs" dxfId="99" priority="108" operator="equal">
      <formula>0</formula>
    </cfRule>
  </conditionalFormatting>
  <conditionalFormatting sqref="C198:C199">
    <cfRule type="cellIs" dxfId="98" priority="107" operator="equal">
      <formula>0</formula>
    </cfRule>
  </conditionalFormatting>
  <conditionalFormatting sqref="C206:D206">
    <cfRule type="cellIs" dxfId="97" priority="105" operator="equal">
      <formula>0</formula>
    </cfRule>
  </conditionalFormatting>
  <conditionalFormatting sqref="C204:D205">
    <cfRule type="cellIs" dxfId="96" priority="106" operator="equal">
      <formula>0</formula>
    </cfRule>
  </conditionalFormatting>
  <conditionalFormatting sqref="C201:C202">
    <cfRule type="cellIs" dxfId="95" priority="103" operator="equal">
      <formula>0</formula>
    </cfRule>
  </conditionalFormatting>
  <conditionalFormatting sqref="D201">
    <cfRule type="cellIs" dxfId="94" priority="102" operator="equal">
      <formula>0</formula>
    </cfRule>
  </conditionalFormatting>
  <conditionalFormatting sqref="C42:D42 C52:D53">
    <cfRule type="cellIs" dxfId="93" priority="101" operator="equal">
      <formula>0</formula>
    </cfRule>
  </conditionalFormatting>
  <conditionalFormatting sqref="C43:D43">
    <cfRule type="cellIs" dxfId="92" priority="100" operator="equal">
      <formula>0</formula>
    </cfRule>
  </conditionalFormatting>
  <conditionalFormatting sqref="D57">
    <cfRule type="cellIs" dxfId="91" priority="99" operator="equal">
      <formula>0</formula>
    </cfRule>
  </conditionalFormatting>
  <conditionalFormatting sqref="C58:D58">
    <cfRule type="cellIs" dxfId="90" priority="98" operator="equal">
      <formula>0</formula>
    </cfRule>
  </conditionalFormatting>
  <conditionalFormatting sqref="C15:C16">
    <cfRule type="cellIs" dxfId="89" priority="97" operator="equal">
      <formula>0</formula>
    </cfRule>
  </conditionalFormatting>
  <conditionalFormatting sqref="C23:D23">
    <cfRule type="cellIs" dxfId="88" priority="96" operator="equal">
      <formula>0</formula>
    </cfRule>
  </conditionalFormatting>
  <conditionalFormatting sqref="C24:D25">
    <cfRule type="cellIs" dxfId="87" priority="95" operator="equal">
      <formula>0</formula>
    </cfRule>
  </conditionalFormatting>
  <conditionalFormatting sqref="C30:D30">
    <cfRule type="cellIs" dxfId="86" priority="93" operator="equal">
      <formula>0</formula>
    </cfRule>
  </conditionalFormatting>
  <conditionalFormatting sqref="C28:D29">
    <cfRule type="cellIs" dxfId="85" priority="94" operator="equal">
      <formula>0</formula>
    </cfRule>
  </conditionalFormatting>
  <conditionalFormatting sqref="D17">
    <cfRule type="cellIs" dxfId="84" priority="91" operator="equal">
      <formula>0</formula>
    </cfRule>
  </conditionalFormatting>
  <conditionalFormatting sqref="C26:D26">
    <cfRule type="cellIs" dxfId="83" priority="90" operator="equal">
      <formula>0</formula>
    </cfRule>
  </conditionalFormatting>
  <conditionalFormatting sqref="C22:D22">
    <cfRule type="cellIs" dxfId="82" priority="89" operator="equal">
      <formula>0</formula>
    </cfRule>
  </conditionalFormatting>
  <conditionalFormatting sqref="C54:D54">
    <cfRule type="cellIs" dxfId="81" priority="88" operator="equal">
      <formula>0</formula>
    </cfRule>
  </conditionalFormatting>
  <conditionalFormatting sqref="C88:D89">
    <cfRule type="cellIs" dxfId="80" priority="87" operator="equal">
      <formula>0</formula>
    </cfRule>
  </conditionalFormatting>
  <conditionalFormatting sqref="D93">
    <cfRule type="cellIs" dxfId="79" priority="85" operator="equal">
      <formula>0</formula>
    </cfRule>
  </conditionalFormatting>
  <conditionalFormatting sqref="C94:D94">
    <cfRule type="cellIs" dxfId="78" priority="84" operator="equal">
      <formula>0</formula>
    </cfRule>
  </conditionalFormatting>
  <conditionalFormatting sqref="C67:C69">
    <cfRule type="cellIs" dxfId="77" priority="83" operator="equal">
      <formula>0</formula>
    </cfRule>
  </conditionalFormatting>
  <conditionalFormatting sqref="C77:D77">
    <cfRule type="cellIs" dxfId="76" priority="81" operator="equal">
      <formula>0</formula>
    </cfRule>
  </conditionalFormatting>
  <conditionalFormatting sqref="C75:D76">
    <cfRule type="cellIs" dxfId="75" priority="82" operator="equal">
      <formula>0</formula>
    </cfRule>
  </conditionalFormatting>
  <conditionalFormatting sqref="D72">
    <cfRule type="cellIs" dxfId="74" priority="79" operator="equal">
      <formula>0</formula>
    </cfRule>
  </conditionalFormatting>
  <conditionalFormatting sqref="C70">
    <cfRule type="cellIs" dxfId="73" priority="78" operator="equal">
      <formula>0</formula>
    </cfRule>
  </conditionalFormatting>
  <conditionalFormatting sqref="C83:D83">
    <cfRule type="cellIs" dxfId="72" priority="74" operator="equal">
      <formula>0</formula>
    </cfRule>
  </conditionalFormatting>
  <conditionalFormatting sqref="C71">
    <cfRule type="cellIs" dxfId="71" priority="73" operator="equal">
      <formula>0</formula>
    </cfRule>
  </conditionalFormatting>
  <conditionalFormatting sqref="C73:D73">
    <cfRule type="cellIs" dxfId="70" priority="72" operator="equal">
      <formula>0</formula>
    </cfRule>
  </conditionalFormatting>
  <conditionalFormatting sqref="D91">
    <cfRule type="cellIs" dxfId="69" priority="71" operator="equal">
      <formula>0</formula>
    </cfRule>
  </conditionalFormatting>
  <conditionalFormatting sqref="C125:D126">
    <cfRule type="cellIs" dxfId="68" priority="70" operator="equal">
      <formula>0</formula>
    </cfRule>
  </conditionalFormatting>
  <conditionalFormatting sqref="C121:D121">
    <cfRule type="cellIs" dxfId="67" priority="69" operator="equal">
      <formula>0</formula>
    </cfRule>
  </conditionalFormatting>
  <conditionalFormatting sqref="D129">
    <cfRule type="cellIs" dxfId="66" priority="68" operator="equal">
      <formula>0</formula>
    </cfRule>
  </conditionalFormatting>
  <conditionalFormatting sqref="C130:D130">
    <cfRule type="cellIs" dxfId="65" priority="67" operator="equal">
      <formula>0</formula>
    </cfRule>
  </conditionalFormatting>
  <conditionalFormatting sqref="C105:C106">
    <cfRule type="cellIs" dxfId="64" priority="66" operator="equal">
      <formula>0</formula>
    </cfRule>
  </conditionalFormatting>
  <conditionalFormatting sqref="C109:D110">
    <cfRule type="cellIs" dxfId="63" priority="65" operator="equal">
      <formula>0</formula>
    </cfRule>
  </conditionalFormatting>
  <conditionalFormatting sqref="C114:D114">
    <cfRule type="cellIs" dxfId="62" priority="63" operator="equal">
      <formula>0</formula>
    </cfRule>
  </conditionalFormatting>
  <conditionalFormatting sqref="C112:D113">
    <cfRule type="cellIs" dxfId="61" priority="64" operator="equal">
      <formula>0</formula>
    </cfRule>
  </conditionalFormatting>
  <conditionalFormatting sqref="C108:D108">
    <cfRule type="cellIs" dxfId="60" priority="62" operator="equal">
      <formula>0</formula>
    </cfRule>
  </conditionalFormatting>
  <conditionalFormatting sqref="C153:D154">
    <cfRule type="cellIs" dxfId="59" priority="61" operator="equal">
      <formula>0</formula>
    </cfRule>
  </conditionalFormatting>
  <conditionalFormatting sqref="C151:D151">
    <cfRule type="cellIs" dxfId="58" priority="60" operator="equal">
      <formula>0</formula>
    </cfRule>
  </conditionalFormatting>
  <conditionalFormatting sqref="D157">
    <cfRule type="cellIs" dxfId="57" priority="59" operator="equal">
      <formula>0</formula>
    </cfRule>
  </conditionalFormatting>
  <conditionalFormatting sqref="C158:D158">
    <cfRule type="cellIs" dxfId="56" priority="58" operator="equal">
      <formula>0</formula>
    </cfRule>
  </conditionalFormatting>
  <conditionalFormatting sqref="C140">
    <cfRule type="cellIs" dxfId="55" priority="57" operator="equal">
      <formula>0</formula>
    </cfRule>
  </conditionalFormatting>
  <conditionalFormatting sqref="C147:D147">
    <cfRule type="cellIs" dxfId="54" priority="55" operator="equal">
      <formula>0</formula>
    </cfRule>
  </conditionalFormatting>
  <conditionalFormatting sqref="C145:D146">
    <cfRule type="cellIs" dxfId="53" priority="56" operator="equal">
      <formula>0</formula>
    </cfRule>
  </conditionalFormatting>
  <conditionalFormatting sqref="C143:D143">
    <cfRule type="cellIs" dxfId="52" priority="54" operator="equal">
      <formula>0</formula>
    </cfRule>
  </conditionalFormatting>
  <conditionalFormatting sqref="D142">
    <cfRule type="cellIs" dxfId="51" priority="53" operator="equal">
      <formula>0</formula>
    </cfRule>
  </conditionalFormatting>
  <conditionalFormatting sqref="C184:D185">
    <cfRule type="cellIs" dxfId="50" priority="52" operator="equal">
      <formula>0</formula>
    </cfRule>
  </conditionalFormatting>
  <conditionalFormatting sqref="C180:D180">
    <cfRule type="cellIs" dxfId="49" priority="51" operator="equal">
      <formula>0</formula>
    </cfRule>
  </conditionalFormatting>
  <conditionalFormatting sqref="D188">
    <cfRule type="cellIs" dxfId="48" priority="50" operator="equal">
      <formula>0</formula>
    </cfRule>
  </conditionalFormatting>
  <conditionalFormatting sqref="C189:D189">
    <cfRule type="cellIs" dxfId="47" priority="49" operator="equal">
      <formula>0</formula>
    </cfRule>
  </conditionalFormatting>
  <conditionalFormatting sqref="C167">
    <cfRule type="cellIs" dxfId="46" priority="48" operator="equal">
      <formula>0</formula>
    </cfRule>
  </conditionalFormatting>
  <conditionalFormatting sqref="C176:D176">
    <cfRule type="cellIs" dxfId="45" priority="46" operator="equal">
      <formula>0</formula>
    </cfRule>
  </conditionalFormatting>
  <conditionalFormatting sqref="C174:D175">
    <cfRule type="cellIs" dxfId="44" priority="47" operator="equal">
      <formula>0</formula>
    </cfRule>
  </conditionalFormatting>
  <conditionalFormatting sqref="C244:D245">
    <cfRule type="cellIs" dxfId="43" priority="45" operator="equal">
      <formula>0</formula>
    </cfRule>
  </conditionalFormatting>
  <conditionalFormatting sqref="D248">
    <cfRule type="cellIs" dxfId="42" priority="43" operator="equal">
      <formula>0</formula>
    </cfRule>
  </conditionalFormatting>
  <conditionalFormatting sqref="C249:D249 C251:D252 C250">
    <cfRule type="cellIs" dxfId="41" priority="42" operator="equal">
      <formula>0</formula>
    </cfRule>
  </conditionalFormatting>
  <conditionalFormatting sqref="C229:C230">
    <cfRule type="cellIs" dxfId="40" priority="41" operator="equal">
      <formula>0</formula>
    </cfRule>
  </conditionalFormatting>
  <conditionalFormatting sqref="C236:D236">
    <cfRule type="cellIs" dxfId="39" priority="39" operator="equal">
      <formula>0</formula>
    </cfRule>
  </conditionalFormatting>
  <conditionalFormatting sqref="C234:D235">
    <cfRule type="cellIs" dxfId="38" priority="40" operator="equal">
      <formula>0</formula>
    </cfRule>
  </conditionalFormatting>
  <conditionalFormatting sqref="C232:D232">
    <cfRule type="cellIs" dxfId="37" priority="38" operator="equal">
      <formula>0</formula>
    </cfRule>
  </conditionalFormatting>
  <conditionalFormatting sqref="D231">
    <cfRule type="cellIs" dxfId="36" priority="37" operator="equal">
      <formula>0</formula>
    </cfRule>
  </conditionalFormatting>
  <conditionalFormatting sqref="D255">
    <cfRule type="cellIs" dxfId="35" priority="36" operator="equal">
      <formula>0</formula>
    </cfRule>
  </conditionalFormatting>
  <conditionalFormatting sqref="C280:D281">
    <cfRule type="cellIs" dxfId="34" priority="35" operator="equal">
      <formula>0</formula>
    </cfRule>
  </conditionalFormatting>
  <conditionalFormatting sqref="C276:D276">
    <cfRule type="cellIs" dxfId="33" priority="34" operator="equal">
      <formula>0</formula>
    </cfRule>
  </conditionalFormatting>
  <conditionalFormatting sqref="D284">
    <cfRule type="cellIs" dxfId="32" priority="33" operator="equal">
      <formula>0</formula>
    </cfRule>
  </conditionalFormatting>
  <conditionalFormatting sqref="C285:D285">
    <cfRule type="cellIs" dxfId="31" priority="32" operator="equal">
      <formula>0</formula>
    </cfRule>
  </conditionalFormatting>
  <conditionalFormatting sqref="C261">
    <cfRule type="cellIs" dxfId="30" priority="31" operator="equal">
      <formula>0</formula>
    </cfRule>
  </conditionalFormatting>
  <conditionalFormatting sqref="C264:D265">
    <cfRule type="cellIs" dxfId="29" priority="30" operator="equal">
      <formula>0</formula>
    </cfRule>
  </conditionalFormatting>
  <conditionalFormatting sqref="C269:D269">
    <cfRule type="cellIs" dxfId="28" priority="28" operator="equal">
      <formula>0</formula>
    </cfRule>
  </conditionalFormatting>
  <conditionalFormatting sqref="C267:D268">
    <cfRule type="cellIs" dxfId="27" priority="29" operator="equal">
      <formula>0</formula>
    </cfRule>
  </conditionalFormatting>
  <conditionalFormatting sqref="C263:D263">
    <cfRule type="cellIs" dxfId="26" priority="27" operator="equal">
      <formula>0</formula>
    </cfRule>
  </conditionalFormatting>
  <conditionalFormatting sqref="D262">
    <cfRule type="cellIs" dxfId="25" priority="26" operator="equal">
      <formula>0</formula>
    </cfRule>
  </conditionalFormatting>
  <conditionalFormatting sqref="D289">
    <cfRule type="cellIs" dxfId="24" priority="25" operator="equal">
      <formula>0</formula>
    </cfRule>
  </conditionalFormatting>
  <conditionalFormatting sqref="C123:D123">
    <cfRule type="cellIs" dxfId="23" priority="24" operator="equal">
      <formula>0</formula>
    </cfRule>
  </conditionalFormatting>
  <conditionalFormatting sqref="C131:D131">
    <cfRule type="cellIs" dxfId="22" priority="23" operator="equal">
      <formula>0</formula>
    </cfRule>
  </conditionalFormatting>
  <conditionalFormatting sqref="C141">
    <cfRule type="cellIs" dxfId="21" priority="22" operator="equal">
      <formula>0</formula>
    </cfRule>
  </conditionalFormatting>
  <conditionalFormatting sqref="C242:D242">
    <cfRule type="cellIs" dxfId="20" priority="21" operator="equal">
      <formula>0</formula>
    </cfRule>
  </conditionalFormatting>
  <conditionalFormatting sqref="C241:D241">
    <cfRule type="cellIs" dxfId="19" priority="20" operator="equal">
      <formula>0</formula>
    </cfRule>
  </conditionalFormatting>
  <conditionalFormatting sqref="D250">
    <cfRule type="cellIs" dxfId="18" priority="19" operator="equal">
      <formula>0</formula>
    </cfRule>
  </conditionalFormatting>
  <conditionalFormatting sqref="D254">
    <cfRule type="cellIs" dxfId="17" priority="18" operator="equal">
      <formula>0</formula>
    </cfRule>
  </conditionalFormatting>
  <conditionalFormatting sqref="C286">
    <cfRule type="cellIs" dxfId="16" priority="17" operator="equal">
      <formula>0</formula>
    </cfRule>
  </conditionalFormatting>
  <conditionalFormatting sqref="C332">
    <cfRule type="cellIs" dxfId="15" priority="16" operator="equal">
      <formula>0</formula>
    </cfRule>
  </conditionalFormatting>
  <conditionalFormatting sqref="C375">
    <cfRule type="cellIs" dxfId="14" priority="15" operator="equal">
      <formula>0</formula>
    </cfRule>
  </conditionalFormatting>
  <conditionalFormatting sqref="C59">
    <cfRule type="cellIs" dxfId="13" priority="14" operator="equal">
      <formula>0</formula>
    </cfRule>
  </conditionalFormatting>
  <conditionalFormatting sqref="C391">
    <cfRule type="cellIs" dxfId="12" priority="13" operator="equal">
      <formula>0</formula>
    </cfRule>
  </conditionalFormatting>
  <conditionalFormatting sqref="C41:D41">
    <cfRule type="cellIs" dxfId="11" priority="12" operator="equal">
      <formula>0</formula>
    </cfRule>
  </conditionalFormatting>
  <conditionalFormatting sqref="C42:D42">
    <cfRule type="cellIs" dxfId="10" priority="11" operator="equal">
      <formula>0</formula>
    </cfRule>
  </conditionalFormatting>
  <conditionalFormatting sqref="C170">
    <cfRule type="cellIs" dxfId="9" priority="10" operator="equal">
      <formula>0</formula>
    </cfRule>
  </conditionalFormatting>
  <conditionalFormatting sqref="C171">
    <cfRule type="cellIs" dxfId="8" priority="9" operator="equal">
      <formula>0</formula>
    </cfRule>
  </conditionalFormatting>
  <conditionalFormatting sqref="C172">
    <cfRule type="cellIs" dxfId="7" priority="8" operator="equal">
      <formula>0</formula>
    </cfRule>
  </conditionalFormatting>
  <conditionalFormatting sqref="C169">
    <cfRule type="cellIs" dxfId="6" priority="7" operator="equal">
      <formula>0</formula>
    </cfRule>
  </conditionalFormatting>
  <conditionalFormatting sqref="D169">
    <cfRule type="cellIs" dxfId="5" priority="6" operator="equal">
      <formula>0</formula>
    </cfRule>
  </conditionalFormatting>
  <conditionalFormatting sqref="C277">
    <cfRule type="cellIs" dxfId="4" priority="5" operator="equal">
      <formula>0</formula>
    </cfRule>
  </conditionalFormatting>
  <conditionalFormatting sqref="C317:D317">
    <cfRule type="cellIs" dxfId="3" priority="4" operator="equal">
      <formula>0</formula>
    </cfRule>
  </conditionalFormatting>
  <conditionalFormatting sqref="C362">
    <cfRule type="cellIs" dxfId="2" priority="3" operator="equal">
      <formula>0</formula>
    </cfRule>
  </conditionalFormatting>
  <conditionalFormatting sqref="C407">
    <cfRule type="cellIs" dxfId="1" priority="2" operator="equal">
      <formula>0</formula>
    </cfRule>
  </conditionalFormatting>
  <conditionalFormatting sqref="C410:D410">
    <cfRule type="cellIs" dxfId="0" priority="1" operator="equal">
      <formula>0</formula>
    </cfRule>
  </conditionalFormatting>
  <pageMargins left="0.25" right="0.25" top="0.75" bottom="0.75" header="0.3" footer="0.3"/>
  <pageSetup paperSize="9" scale="77" fitToHeight="0" orientation="portrait" r:id="rId1"/>
  <rowBreaks count="11" manualBreakCount="11">
    <brk id="62" max="7" man="1"/>
    <brk id="100" max="7" man="1"/>
    <brk id="135" max="7" man="1"/>
    <brk id="161" max="7" man="1"/>
    <brk id="193" max="7" man="1"/>
    <brk id="224" max="7" man="1"/>
    <brk id="256" max="7" man="1"/>
    <brk id="290" max="7" man="1"/>
    <brk id="341" max="7" man="1"/>
    <brk id="384" max="7" man="1"/>
    <brk id="4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Zdun</dc:creator>
  <cp:lastModifiedBy>Iwona Sozańska</cp:lastModifiedBy>
  <cp:lastPrinted>2022-02-06T18:10:34Z</cp:lastPrinted>
  <dcterms:created xsi:type="dcterms:W3CDTF">2022-01-29T18:44:56Z</dcterms:created>
  <dcterms:modified xsi:type="dcterms:W3CDTF">2022-02-24T08:04:58Z</dcterms:modified>
</cp:coreProperties>
</file>