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WNP_842_PN_2022 - ZAKWATEROWANIE 200 osób\Do publikacji\"/>
    </mc:Choice>
  </mc:AlternateContent>
  <bookViews>
    <workbookView xWindow="0" yWindow="0" windowWidth="28800" windowHeight="13290" firstSheet="2" activeTab="2"/>
  </bookViews>
  <sheets>
    <sheet name="Arkusz1" sheetId="1" r:id="rId1"/>
    <sheet name="Arkusz1 (2)" sheetId="2" r:id="rId2"/>
    <sheet name="Arkusz do przetargu" sheetId="11" r:id="rId3"/>
  </sheets>
  <definedNames>
    <definedName name="_xlnm.Print_Area" localSheetId="2">'Arkusz do przetargu'!$A$1:$I$6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1" l="1"/>
  <c r="G4" i="11" l="1"/>
  <c r="G5" i="11" s="1"/>
  <c r="I5" i="11" l="1"/>
  <c r="E4" i="11"/>
  <c r="H5" i="11" s="1"/>
  <c r="E5" i="11" l="1"/>
  <c r="L13" i="11"/>
  <c r="M13" i="11" s="1"/>
  <c r="N13" i="11" s="1"/>
  <c r="L12" i="11"/>
  <c r="M12" i="11" s="1"/>
  <c r="N12" i="11" s="1"/>
  <c r="O12" i="11" l="1"/>
  <c r="N14" i="11"/>
  <c r="N16" i="11" s="1"/>
  <c r="O13" i="11"/>
  <c r="P13" i="11" s="1"/>
  <c r="L6" i="11"/>
  <c r="O14" i="11" l="1"/>
  <c r="P12" i="11"/>
  <c r="P14" i="11" s="1"/>
  <c r="C5" i="11"/>
  <c r="Q31" i="1" l="1"/>
  <c r="P32" i="1"/>
  <c r="Q32" i="1"/>
  <c r="Q33" i="1" s="1"/>
  <c r="Q34" i="1" s="1"/>
  <c r="D35" i="1" l="1"/>
  <c r="D37" i="1" s="1"/>
  <c r="D39" i="1" s="1"/>
  <c r="I34" i="1"/>
  <c r="D34" i="1"/>
  <c r="V16" i="1" l="1"/>
  <c r="U16" i="1"/>
  <c r="P4" i="1"/>
  <c r="C5" i="1"/>
  <c r="C24" i="2" l="1"/>
  <c r="V18" i="1"/>
  <c r="P17" i="1" s="1"/>
  <c r="W17" i="1"/>
  <c r="V20" i="1"/>
  <c r="P20" i="1" s="1"/>
  <c r="Q20" i="1" s="1"/>
  <c r="R20" i="1" s="1"/>
  <c r="P18" i="1"/>
  <c r="U20" i="1"/>
  <c r="U18" i="1"/>
  <c r="P16" i="1"/>
  <c r="L15" i="1"/>
  <c r="L16" i="1" s="1"/>
  <c r="N16" i="1" s="1"/>
  <c r="O16" i="1" s="1"/>
  <c r="V14" i="1"/>
  <c r="P13" i="1" s="1"/>
  <c r="P14" i="1" s="1"/>
  <c r="U14" i="1"/>
  <c r="D20" i="1"/>
  <c r="D18" i="1"/>
  <c r="D16" i="1"/>
  <c r="D14" i="1"/>
  <c r="C14" i="1"/>
  <c r="C20" i="1"/>
  <c r="C18" i="1"/>
  <c r="C16" i="1"/>
  <c r="V19" i="1"/>
  <c r="V17" i="1"/>
  <c r="V15" i="1"/>
  <c r="V13" i="1"/>
  <c r="U19" i="1"/>
  <c r="U17" i="1"/>
  <c r="U15" i="1"/>
  <c r="U13" i="1"/>
  <c r="P12" i="1"/>
  <c r="Q12" i="1" s="1"/>
  <c r="V12" i="1"/>
  <c r="V11" i="1"/>
  <c r="L12" i="1"/>
  <c r="U12" i="1"/>
  <c r="U11" i="1"/>
  <c r="C12" i="1"/>
  <c r="D12" i="1"/>
  <c r="E19" i="1"/>
  <c r="G19" i="1" s="1"/>
  <c r="G20" i="1" s="1"/>
  <c r="E17" i="1"/>
  <c r="G17" i="1" s="1"/>
  <c r="G18" i="1" s="1"/>
  <c r="E15" i="1"/>
  <c r="G15" i="1" s="1"/>
  <c r="G16" i="1" s="1"/>
  <c r="E13" i="1"/>
  <c r="G13" i="1" s="1"/>
  <c r="G14" i="1" s="1"/>
  <c r="E11" i="1"/>
  <c r="G11" i="1" s="1"/>
  <c r="F20" i="1"/>
  <c r="F18" i="1"/>
  <c r="F16" i="1"/>
  <c r="F14" i="1"/>
  <c r="F12" i="1"/>
  <c r="K15" i="1" l="1"/>
  <c r="K16" i="1" s="1"/>
  <c r="W20" i="1"/>
  <c r="W12" i="1"/>
  <c r="W14" i="1"/>
  <c r="W18" i="1"/>
  <c r="L17" i="1"/>
  <c r="W15" i="1"/>
  <c r="L18" i="1"/>
  <c r="N18" i="1" s="1"/>
  <c r="W13" i="1"/>
  <c r="P15" i="1"/>
  <c r="P19" i="1"/>
  <c r="L19" i="1"/>
  <c r="L20" i="1"/>
  <c r="N20" i="1" s="1"/>
  <c r="W16" i="1"/>
  <c r="W19" i="1"/>
  <c r="K11" i="1"/>
  <c r="K12" i="1" s="1"/>
  <c r="L13" i="1"/>
  <c r="L14" i="1" s="1"/>
  <c r="K13" i="1" s="1"/>
  <c r="K14" i="1" s="1"/>
  <c r="E14" i="1"/>
  <c r="N14" i="1"/>
  <c r="Q14" i="1"/>
  <c r="R14" i="1" s="1"/>
  <c r="Q16" i="1"/>
  <c r="S16" i="1" s="1"/>
  <c r="R12" i="1"/>
  <c r="E12" i="1"/>
  <c r="N12" i="1"/>
  <c r="S12" i="1" s="1"/>
  <c r="Q18" i="1"/>
  <c r="G12" i="1"/>
  <c r="H11" i="1"/>
  <c r="I11" i="1" s="1"/>
  <c r="E18" i="1"/>
  <c r="E20" i="1"/>
  <c r="E16" i="1"/>
  <c r="H19" i="1"/>
  <c r="H17" i="1"/>
  <c r="H18" i="1" s="1"/>
  <c r="H15" i="1"/>
  <c r="H13" i="1"/>
  <c r="H14" i="1" s="1"/>
  <c r="S14" i="1" l="1"/>
  <c r="K17" i="1"/>
  <c r="K18" i="1" s="1"/>
  <c r="O18" i="1"/>
  <c r="I17" i="1"/>
  <c r="I18" i="1" s="1"/>
  <c r="K19" i="1"/>
  <c r="K20" i="1" s="1"/>
  <c r="S20" i="1"/>
  <c r="O20" i="1"/>
  <c r="O12" i="1"/>
  <c r="T14" i="1"/>
  <c r="I14" i="1"/>
  <c r="R16" i="1"/>
  <c r="O14" i="1"/>
  <c r="I13" i="1"/>
  <c r="S18" i="1"/>
  <c r="T18" i="1" s="1"/>
  <c r="R18" i="1"/>
  <c r="I15" i="1"/>
  <c r="H16" i="1"/>
  <c r="H12" i="1"/>
  <c r="T12" i="1" s="1"/>
  <c r="I19" i="1"/>
  <c r="I20" i="1" s="1"/>
  <c r="H20" i="1"/>
  <c r="T20" i="1" l="1"/>
  <c r="I12" i="1"/>
  <c r="I16" i="1"/>
  <c r="T16" i="1"/>
  <c r="N21" i="2"/>
  <c r="N22" i="2" s="1"/>
  <c r="Q13" i="2"/>
  <c r="C22" i="2"/>
  <c r="L21" i="2"/>
  <c r="E21" i="2"/>
  <c r="G21" i="2" s="1"/>
  <c r="E20" i="2"/>
  <c r="G20" i="2" s="1"/>
  <c r="E19" i="2"/>
  <c r="G19" i="2" s="1"/>
  <c r="L19" i="2" s="1"/>
  <c r="E18" i="2"/>
  <c r="G18" i="2" s="1"/>
  <c r="Q15" i="2"/>
  <c r="N12" i="2"/>
  <c r="C12" i="2"/>
  <c r="N11" i="2"/>
  <c r="L11" i="2"/>
  <c r="E11" i="2"/>
  <c r="G11" i="2" s="1"/>
  <c r="A11" i="2"/>
  <c r="E10" i="2"/>
  <c r="C9" i="2"/>
  <c r="L8" i="2"/>
  <c r="L9" i="2" s="1"/>
  <c r="E8" i="2"/>
  <c r="E9" i="2" s="1"/>
  <c r="G9" i="2" s="1"/>
  <c r="T7" i="2"/>
  <c r="Q7" i="2"/>
  <c r="R7" i="2" s="1"/>
  <c r="P7" i="2"/>
  <c r="C7" i="2"/>
  <c r="N6" i="2"/>
  <c r="N7" i="2" s="1"/>
  <c r="L6" i="2"/>
  <c r="G6" i="2"/>
  <c r="H6" i="2" s="1"/>
  <c r="I6" i="2" s="1"/>
  <c r="E6" i="2"/>
  <c r="E5" i="2"/>
  <c r="G5" i="2" s="1"/>
  <c r="E4" i="2"/>
  <c r="E3" i="2"/>
  <c r="G3" i="2" s="1"/>
  <c r="L3" i="2" l="1"/>
  <c r="H3" i="2"/>
  <c r="E7" i="2"/>
  <c r="E12" i="2"/>
  <c r="E13" i="2" s="1"/>
  <c r="C13" i="2"/>
  <c r="G8" i="2"/>
  <c r="N8" i="2" s="1"/>
  <c r="N9" i="2" s="1"/>
  <c r="N13" i="2" s="1"/>
  <c r="K8" i="2"/>
  <c r="H20" i="2"/>
  <c r="I20" i="2" s="1"/>
  <c r="L20" i="2"/>
  <c r="H18" i="2"/>
  <c r="L18" i="2"/>
  <c r="L22" i="2" s="1"/>
  <c r="K18" i="2" s="1"/>
  <c r="G22" i="2"/>
  <c r="H21" i="2"/>
  <c r="I21" i="2"/>
  <c r="E22" i="2"/>
  <c r="H19" i="2"/>
  <c r="I19" i="2" s="1"/>
  <c r="H5" i="2"/>
  <c r="I5" i="2" s="1"/>
  <c r="L5" i="2"/>
  <c r="H11" i="2"/>
  <c r="I11" i="2" s="1"/>
  <c r="H9" i="2"/>
  <c r="I9" i="2"/>
  <c r="G10" i="2"/>
  <c r="I3" i="2"/>
  <c r="G4" i="2"/>
  <c r="G7" i="2" s="1"/>
  <c r="V24" i="1"/>
  <c r="P9" i="1"/>
  <c r="L9" i="1"/>
  <c r="L6" i="1"/>
  <c r="L7" i="1" s="1"/>
  <c r="E6" i="1"/>
  <c r="G6" i="1" s="1"/>
  <c r="P5" i="1"/>
  <c r="L4" i="1"/>
  <c r="N4" i="1" s="1"/>
  <c r="E4" i="1"/>
  <c r="G4" i="1" s="1"/>
  <c r="E3" i="1"/>
  <c r="G3" i="1" l="1"/>
  <c r="E5" i="1"/>
  <c r="Q5" i="1"/>
  <c r="R5" i="1" s="1"/>
  <c r="N7" i="1"/>
  <c r="H8" i="2"/>
  <c r="I8" i="2" s="1"/>
  <c r="H22" i="2"/>
  <c r="I18" i="2"/>
  <c r="I22" i="2" s="1"/>
  <c r="L4" i="2"/>
  <c r="L7" i="2" s="1"/>
  <c r="H4" i="2"/>
  <c r="H7" i="2" s="1"/>
  <c r="H10" i="2"/>
  <c r="I10" i="2" s="1"/>
  <c r="G12" i="2"/>
  <c r="L10" i="2"/>
  <c r="L12" i="2" s="1"/>
  <c r="K10" i="2" s="1"/>
  <c r="P6" i="1"/>
  <c r="P7" i="1" s="1"/>
  <c r="H6" i="1"/>
  <c r="I6" i="1" s="1"/>
  <c r="H4" i="1"/>
  <c r="I4" i="1" s="1"/>
  <c r="H3" i="1"/>
  <c r="I3" i="1" l="1"/>
  <c r="I5" i="1" s="1"/>
  <c r="H5" i="1"/>
  <c r="L3" i="1"/>
  <c r="G5" i="1"/>
  <c r="Q7" i="1"/>
  <c r="S7" i="1" s="1"/>
  <c r="W7" i="1" s="1"/>
  <c r="O7" i="1"/>
  <c r="H12" i="2"/>
  <c r="H13" i="2" s="1"/>
  <c r="I12" i="2"/>
  <c r="P15" i="2"/>
  <c r="L13" i="2"/>
  <c r="L14" i="2" s="1"/>
  <c r="K3" i="2"/>
  <c r="K13" i="2" s="1"/>
  <c r="G13" i="2"/>
  <c r="I4" i="2"/>
  <c r="I7" i="2" s="1"/>
  <c r="I13" i="2" s="1"/>
  <c r="C10" i="1"/>
  <c r="E9" i="1"/>
  <c r="G9" i="1" s="1"/>
  <c r="A9" i="1"/>
  <c r="E8" i="1"/>
  <c r="C7" i="1"/>
  <c r="E7" i="1"/>
  <c r="G7" i="1" s="1"/>
  <c r="L5" i="1" l="1"/>
  <c r="N3" i="1"/>
  <c r="N5" i="1"/>
  <c r="R7" i="1"/>
  <c r="C21" i="1"/>
  <c r="E10" i="1"/>
  <c r="E21" i="1" s="1"/>
  <c r="H7" i="1"/>
  <c r="G8" i="1"/>
  <c r="L8" i="1" s="1"/>
  <c r="L10" i="1" s="1"/>
  <c r="H9" i="1"/>
  <c r="I9" i="1" s="1"/>
  <c r="O5" i="1" l="1"/>
  <c r="S5" i="1"/>
  <c r="T5" i="1" s="1"/>
  <c r="K3" i="1"/>
  <c r="U24" i="1"/>
  <c r="I7" i="1"/>
  <c r="T7" i="1"/>
  <c r="L21" i="1"/>
  <c r="N10" i="1"/>
  <c r="O10" i="1" s="1"/>
  <c r="O21" i="1" s="1"/>
  <c r="P10" i="1"/>
  <c r="H8" i="1"/>
  <c r="I8" i="1" s="1"/>
  <c r="G10" i="1"/>
  <c r="G21" i="1" s="1"/>
  <c r="N21" i="1" l="1"/>
  <c r="P21" i="1"/>
  <c r="L23" i="1" s="1"/>
  <c r="Q10" i="1"/>
  <c r="Q21" i="1" s="1"/>
  <c r="K8" i="1"/>
  <c r="K6" i="1"/>
  <c r="H10" i="1"/>
  <c r="K21" i="1" l="1"/>
  <c r="L24" i="1"/>
  <c r="L25" i="1" s="1"/>
  <c r="I10" i="1"/>
  <c r="I21" i="1" s="1"/>
  <c r="H21" i="1"/>
  <c r="R10" i="1"/>
  <c r="R21" i="1" s="1"/>
  <c r="S10" i="1"/>
  <c r="S21" i="1" s="1"/>
  <c r="T10" i="1" l="1"/>
</calcChain>
</file>

<file path=xl/sharedStrings.xml><?xml version="1.0" encoding="utf-8"?>
<sst xmlns="http://schemas.openxmlformats.org/spreadsheetml/2006/main" count="138" uniqueCount="86">
  <si>
    <t>lp</t>
  </si>
  <si>
    <t>termin</t>
  </si>
  <si>
    <t>noce</t>
  </si>
  <si>
    <t>ilość</t>
  </si>
  <si>
    <t>osobonoce</t>
  </si>
  <si>
    <t>stawka</t>
  </si>
  <si>
    <t>kwota n</t>
  </si>
  <si>
    <t>vat 8%</t>
  </si>
  <si>
    <t>kwota br</t>
  </si>
  <si>
    <t>j.o.</t>
  </si>
  <si>
    <t>NETTO</t>
  </si>
  <si>
    <t>ZADANIE 1</t>
  </si>
  <si>
    <t>ZADANIE 2</t>
  </si>
  <si>
    <t>ZADANIE 3</t>
  </si>
  <si>
    <t>TERMINY I KOSZTY ZAKWATEROWANIA GARNIZON WROCŁAW</t>
  </si>
  <si>
    <t>2022 r.n</t>
  </si>
  <si>
    <t>2023r.n</t>
  </si>
  <si>
    <t>razem n</t>
  </si>
  <si>
    <t>cały 2023r.</t>
  </si>
  <si>
    <t>do 31.09.2023</t>
  </si>
  <si>
    <t xml:space="preserve">osób </t>
  </si>
  <si>
    <t>komp</t>
  </si>
  <si>
    <t>31.05.2022-10.07.2022</t>
  </si>
  <si>
    <t>31.05.2022-01.07.2022</t>
  </si>
  <si>
    <t>25k</t>
  </si>
  <si>
    <t>11k</t>
  </si>
  <si>
    <t>25+13</t>
  </si>
  <si>
    <t>01.07.2022-31.08.2022</t>
  </si>
  <si>
    <t>31.08.2022-31.12.2023</t>
  </si>
  <si>
    <t>13k</t>
  </si>
  <si>
    <t>15.09.2022-01.10.2022</t>
  </si>
  <si>
    <t>SO12</t>
  </si>
  <si>
    <t>01.10.2022-10.10.2023</t>
  </si>
  <si>
    <t>31.08.2022-30.09.2023</t>
  </si>
  <si>
    <t>01.07.2022-09.07.2023</t>
  </si>
  <si>
    <t>15k</t>
  </si>
  <si>
    <t>14k</t>
  </si>
  <si>
    <t>01.07.2022-30.09.2023</t>
  </si>
  <si>
    <t>12k</t>
  </si>
  <si>
    <t>22k</t>
  </si>
  <si>
    <t>01.09.2022-30.09.2023</t>
  </si>
  <si>
    <t>24k</t>
  </si>
  <si>
    <t>ZADANIE 4</t>
  </si>
  <si>
    <t>ZADANIE 5</t>
  </si>
  <si>
    <t>ZADANIE 6</t>
  </si>
  <si>
    <t>ZADANIE 7</t>
  </si>
  <si>
    <t>ZADANIE 8</t>
  </si>
  <si>
    <t>2023r.</t>
  </si>
  <si>
    <t>kwota netto</t>
  </si>
  <si>
    <t>kwota brutto</t>
  </si>
  <si>
    <t>2022 r. netto</t>
  </si>
  <si>
    <t>2023r. Netto</t>
  </si>
  <si>
    <t>netto</t>
  </si>
  <si>
    <t>brutto</t>
  </si>
  <si>
    <t>Vat 8%</t>
  </si>
  <si>
    <t>ilość osób</t>
  </si>
  <si>
    <t>ilość osobonocy</t>
  </si>
  <si>
    <t>stawka (zł) za 1 osobonoc</t>
  </si>
  <si>
    <t>wartość  netto (zł)</t>
  </si>
  <si>
    <t>wartość brutto (zł)</t>
  </si>
  <si>
    <t>RAZEM</t>
  </si>
  <si>
    <t>vat</t>
  </si>
  <si>
    <t>Budynek nr</t>
  </si>
  <si>
    <t>liczba miejsc po remoncie</t>
  </si>
  <si>
    <t>aktualna możliwość zakwaterowania</t>
  </si>
  <si>
    <t>Politechnika Wr.</t>
  </si>
  <si>
    <t>aktualna liczba miejsc na uczelniach zewnętrznych</t>
  </si>
  <si>
    <r>
      <t>U</t>
    </r>
    <r>
      <rPr>
        <sz val="9"/>
        <color theme="1"/>
        <rFont val="Calibri"/>
        <family val="2"/>
        <charset val="238"/>
        <scheme val="minor"/>
      </rPr>
      <t xml:space="preserve">niwersytet </t>
    </r>
    <r>
      <rPr>
        <sz val="11"/>
        <color theme="1"/>
        <rFont val="Calibri"/>
        <family val="2"/>
        <charset val="238"/>
        <scheme val="minor"/>
      </rPr>
      <t>Wr.</t>
    </r>
  </si>
  <si>
    <t>AWF</t>
  </si>
  <si>
    <t>proces inwestycji budowlanych (rozpoczęcie-zakończenie)</t>
  </si>
  <si>
    <t>razem</t>
  </si>
  <si>
    <t>obecne zakw. na zewn.</t>
  </si>
  <si>
    <t>RAZEM brak</t>
  </si>
  <si>
    <t>od.01.07.2023</t>
  </si>
  <si>
    <t xml:space="preserve">Hallera </t>
  </si>
  <si>
    <t>Uniwersytet Przyr.</t>
  </si>
  <si>
    <t>szacukowe wyliczenie na podstawie aktualnie ponoszonych kosztów</t>
  </si>
  <si>
    <t>m-na opłata za 400 osób</t>
  </si>
  <si>
    <t>m-na opłata za 1 osobę</t>
  </si>
  <si>
    <t>za 18 m-cy</t>
  </si>
  <si>
    <t>n</t>
  </si>
  <si>
    <t>v</t>
  </si>
  <si>
    <t>b</t>
  </si>
  <si>
    <t xml:space="preserve">VAT </t>
  </si>
  <si>
    <t>01.12.2022-30.09.2023</t>
  </si>
  <si>
    <t>Zestawienie ilościowo-wartościowe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</si>
</sst>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6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1"/>
      <name val="Arial"/>
      <family val="2"/>
      <charset val="238"/>
    </font>
    <font>
      <sz val="11"/>
      <color theme="1"/>
      <name val="Arial"/>
      <family val="2"/>
      <charset val="238"/>
    </font>
    <font>
      <i/>
      <sz val="9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9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i/>
      <sz val="10"/>
      <name val="Arial"/>
      <family val="2"/>
      <charset val="238"/>
    </font>
    <font>
      <b/>
      <sz val="1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i/>
      <sz val="12"/>
      <color theme="0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" fontId="2" fillId="2" borderId="9" xfId="0" applyNumberFormat="1" applyFont="1" applyFill="1" applyBorder="1"/>
    <xf numFmtId="3" fontId="2" fillId="2" borderId="9" xfId="0" applyNumberFormat="1" applyFont="1" applyFill="1" applyBorder="1" applyAlignment="1">
      <alignment horizontal="center" vertical="center" wrapText="1"/>
    </xf>
    <xf numFmtId="3" fontId="10" fillId="3" borderId="16" xfId="0" applyNumberFormat="1" applyFont="1" applyFill="1" applyBorder="1" applyAlignment="1">
      <alignment horizontal="center" vertical="center" wrapText="1"/>
    </xf>
    <xf numFmtId="3" fontId="9" fillId="4" borderId="16" xfId="0" applyNumberFormat="1" applyFont="1" applyFill="1" applyBorder="1" applyAlignment="1">
      <alignment horizontal="center"/>
    </xf>
    <xf numFmtId="1" fontId="1" fillId="2" borderId="24" xfId="0" applyNumberFormat="1" applyFont="1" applyFill="1" applyBorder="1" applyAlignment="1">
      <alignment horizontal="center" vertical="center"/>
    </xf>
    <xf numFmtId="3" fontId="6" fillId="2" borderId="10" xfId="0" applyNumberFormat="1" applyFont="1" applyFill="1" applyBorder="1" applyAlignment="1">
      <alignment horizontal="center"/>
    </xf>
    <xf numFmtId="1" fontId="1" fillId="2" borderId="27" xfId="0" applyNumberFormat="1" applyFont="1" applyFill="1" applyBorder="1" applyAlignment="1">
      <alignment horizontal="center" vertical="center"/>
    </xf>
    <xf numFmtId="3" fontId="11" fillId="2" borderId="21" xfId="0" applyNumberFormat="1" applyFont="1" applyFill="1" applyBorder="1" applyAlignment="1">
      <alignment horizontal="center"/>
    </xf>
    <xf numFmtId="3" fontId="9" fillId="5" borderId="16" xfId="0" applyNumberFormat="1" applyFont="1" applyFill="1" applyBorder="1" applyAlignment="1">
      <alignment horizontal="center"/>
    </xf>
    <xf numFmtId="0" fontId="12" fillId="6" borderId="29" xfId="0" applyFont="1" applyFill="1" applyBorder="1" applyAlignment="1">
      <alignment horizontal="center" vertical="center"/>
    </xf>
    <xf numFmtId="0" fontId="12" fillId="6" borderId="16" xfId="0" applyFont="1" applyFill="1" applyBorder="1" applyAlignment="1">
      <alignment horizontal="center" vertical="center"/>
    </xf>
    <xf numFmtId="3" fontId="12" fillId="6" borderId="16" xfId="0" applyNumberFormat="1" applyFont="1" applyFill="1" applyBorder="1" applyAlignment="1">
      <alignment horizontal="center" vertical="center"/>
    </xf>
    <xf numFmtId="4" fontId="12" fillId="6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" fontId="13" fillId="0" borderId="0" xfId="0" quotePrefix="1" applyNumberFormat="1" applyFont="1"/>
    <xf numFmtId="4" fontId="14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 vertical="center"/>
    </xf>
    <xf numFmtId="0" fontId="13" fillId="0" borderId="0" xfId="0" applyFont="1"/>
    <xf numFmtId="0" fontId="14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3" fontId="2" fillId="2" borderId="10" xfId="0" applyNumberFormat="1" applyFont="1" applyFill="1" applyBorder="1" applyAlignment="1">
      <alignment horizontal="center" vertical="center" wrapText="1"/>
    </xf>
    <xf numFmtId="3" fontId="2" fillId="2" borderId="21" xfId="0" applyNumberFormat="1" applyFont="1" applyFill="1" applyBorder="1" applyAlignment="1">
      <alignment horizontal="center" vertical="center" wrapText="1"/>
    </xf>
    <xf numFmtId="3" fontId="10" fillId="5" borderId="15" xfId="0" applyNumberFormat="1" applyFont="1" applyFill="1" applyBorder="1" applyAlignment="1">
      <alignment horizontal="center" vertical="center" wrapText="1"/>
    </xf>
    <xf numFmtId="3" fontId="10" fillId="6" borderId="30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/>
    </xf>
    <xf numFmtId="4" fontId="7" fillId="2" borderId="10" xfId="0" applyNumberFormat="1" applyFont="1" applyFill="1" applyBorder="1" applyAlignment="1">
      <alignment horizontal="center" vertical="center" wrapText="1"/>
    </xf>
    <xf numFmtId="4" fontId="7" fillId="2" borderId="21" xfId="0" applyNumberFormat="1" applyFont="1" applyFill="1" applyBorder="1" applyAlignment="1">
      <alignment horizontal="center" vertical="center" wrapText="1"/>
    </xf>
    <xf numFmtId="4" fontId="10" fillId="5" borderId="17" xfId="0" applyNumberFormat="1" applyFont="1" applyFill="1" applyBorder="1" applyAlignment="1">
      <alignment horizontal="center" vertical="center" wrapText="1"/>
    </xf>
    <xf numFmtId="4" fontId="10" fillId="6" borderId="2" xfId="0" applyNumberFormat="1" applyFont="1" applyFill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/>
    </xf>
    <xf numFmtId="4" fontId="7" fillId="2" borderId="9" xfId="0" applyNumberFormat="1" applyFont="1" applyFill="1" applyBorder="1" applyAlignment="1">
      <alignment horizontal="center" vertical="center" wrapText="1"/>
    </xf>
    <xf numFmtId="4" fontId="10" fillId="5" borderId="15" xfId="0" applyNumberFormat="1" applyFont="1" applyFill="1" applyBorder="1" applyAlignment="1">
      <alignment horizontal="center" vertical="center" wrapText="1"/>
    </xf>
    <xf numFmtId="4" fontId="12" fillId="6" borderId="16" xfId="0" applyNumberFormat="1" applyFont="1" applyFill="1" applyBorder="1" applyAlignment="1">
      <alignment horizontal="center" vertical="center"/>
    </xf>
    <xf numFmtId="4" fontId="2" fillId="2" borderId="9" xfId="0" applyNumberFormat="1" applyFont="1" applyFill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center" vertical="center" wrapText="1"/>
    </xf>
    <xf numFmtId="4" fontId="2" fillId="2" borderId="21" xfId="0" applyNumberFormat="1" applyFont="1" applyFill="1" applyBorder="1" applyAlignment="1">
      <alignment horizontal="center" vertical="center" wrapText="1"/>
    </xf>
    <xf numFmtId="4" fontId="12" fillId="6" borderId="31" xfId="0" applyNumberFormat="1" applyFont="1" applyFill="1" applyBorder="1" applyAlignment="1">
      <alignment horizontal="center" vertical="center"/>
    </xf>
    <xf numFmtId="1" fontId="15" fillId="0" borderId="0" xfId="0" applyNumberFormat="1" applyFont="1" applyAlignment="1"/>
    <xf numFmtId="4" fontId="5" fillId="0" borderId="7" xfId="0" applyNumberFormat="1" applyFont="1" applyBorder="1" applyAlignment="1">
      <alignment horizontal="center"/>
    </xf>
    <xf numFmtId="4" fontId="4" fillId="2" borderId="11" xfId="0" applyNumberFormat="1" applyFont="1" applyFill="1" applyBorder="1" applyAlignment="1">
      <alignment horizontal="center"/>
    </xf>
    <xf numFmtId="4" fontId="4" fillId="2" borderId="26" xfId="0" applyNumberFormat="1" applyFont="1" applyFill="1" applyBorder="1" applyAlignment="1">
      <alignment horizontal="center"/>
    </xf>
    <xf numFmtId="4" fontId="8" fillId="5" borderId="23" xfId="0" applyNumberFormat="1" applyFont="1" applyFill="1" applyBorder="1" applyAlignment="1">
      <alignment horizontal="center"/>
    </xf>
    <xf numFmtId="4" fontId="8" fillId="6" borderId="7" xfId="0" applyNumberFormat="1" applyFont="1" applyFill="1" applyBorder="1" applyAlignment="1">
      <alignment horizontal="center" vertical="center"/>
    </xf>
    <xf numFmtId="1" fontId="13" fillId="0" borderId="0" xfId="0" applyNumberFormat="1" applyFont="1"/>
    <xf numFmtId="0" fontId="0" fillId="0" borderId="0" xfId="0" applyAlignment="1">
      <alignment horizontal="right"/>
    </xf>
    <xf numFmtId="4" fontId="4" fillId="2" borderId="0" xfId="0" applyNumberFormat="1" applyFont="1" applyFill="1" applyBorder="1" applyAlignment="1">
      <alignment horizontal="center"/>
    </xf>
    <xf numFmtId="1" fontId="15" fillId="2" borderId="0" xfId="0" applyNumberFormat="1" applyFont="1" applyFill="1" applyBorder="1" applyAlignment="1">
      <alignment horizontal="center"/>
    </xf>
    <xf numFmtId="4" fontId="5" fillId="2" borderId="0" xfId="0" applyNumberFormat="1" applyFont="1" applyFill="1" applyBorder="1" applyAlignment="1">
      <alignment horizontal="center"/>
    </xf>
    <xf numFmtId="4" fontId="10" fillId="2" borderId="0" xfId="0" applyNumberFormat="1" applyFont="1" applyFill="1" applyBorder="1" applyAlignment="1">
      <alignment horizontal="center"/>
    </xf>
    <xf numFmtId="4" fontId="8" fillId="2" borderId="0" xfId="0" applyNumberFormat="1" applyFont="1" applyFill="1" applyBorder="1" applyAlignment="1">
      <alignment horizontal="center"/>
    </xf>
    <xf numFmtId="4" fontId="12" fillId="2" borderId="0" xfId="0" applyNumberFormat="1" applyFont="1" applyFill="1" applyBorder="1" applyAlignment="1">
      <alignment horizontal="center"/>
    </xf>
    <xf numFmtId="4" fontId="0" fillId="2" borderId="0" xfId="0" applyNumberFormat="1" applyFill="1" applyBorder="1" applyAlignment="1">
      <alignment horizontal="center"/>
    </xf>
    <xf numFmtId="0" fontId="0" fillId="2" borderId="0" xfId="0" applyFill="1"/>
    <xf numFmtId="4" fontId="0" fillId="0" borderId="0" xfId="0" applyNumberFormat="1"/>
    <xf numFmtId="3" fontId="10" fillId="3" borderId="30" xfId="0" applyNumberFormat="1" applyFont="1" applyFill="1" applyBorder="1" applyAlignment="1">
      <alignment horizontal="center" vertical="center" wrapText="1"/>
    </xf>
    <xf numFmtId="4" fontId="10" fillId="3" borderId="16" xfId="0" applyNumberFormat="1" applyFont="1" applyFill="1" applyBorder="1" applyAlignment="1">
      <alignment horizontal="center" vertical="center" wrapText="1"/>
    </xf>
    <xf numFmtId="4" fontId="10" fillId="3" borderId="30" xfId="0" applyNumberFormat="1" applyFont="1" applyFill="1" applyBorder="1" applyAlignment="1">
      <alignment horizontal="center" vertical="center" wrapText="1"/>
    </xf>
    <xf numFmtId="16" fontId="2" fillId="2" borderId="21" xfId="0" applyNumberFormat="1" applyFont="1" applyFill="1" applyBorder="1"/>
    <xf numFmtId="4" fontId="0" fillId="0" borderId="12" xfId="0" applyNumberFormat="1" applyBorder="1" applyAlignment="1">
      <alignment horizontal="center"/>
    </xf>
    <xf numFmtId="4" fontId="4" fillId="2" borderId="18" xfId="0" applyNumberFormat="1" applyFont="1" applyFill="1" applyBorder="1" applyAlignment="1">
      <alignment vertical="center"/>
    </xf>
    <xf numFmtId="4" fontId="8" fillId="2" borderId="0" xfId="0" applyNumberFormat="1" applyFont="1" applyFill="1" applyBorder="1" applyAlignment="1">
      <alignment horizontal="center" vertical="center"/>
    </xf>
    <xf numFmtId="0" fontId="0" fillId="0" borderId="21" xfId="0" applyBorder="1"/>
    <xf numFmtId="4" fontId="0" fillId="0" borderId="19" xfId="0" applyNumberFormat="1" applyBorder="1"/>
    <xf numFmtId="0" fontId="0" fillId="0" borderId="19" xfId="0" applyBorder="1"/>
    <xf numFmtId="3" fontId="10" fillId="4" borderId="30" xfId="0" applyNumberFormat="1" applyFont="1" applyFill="1" applyBorder="1" applyAlignment="1">
      <alignment horizontal="center" vertical="center" wrapText="1"/>
    </xf>
    <xf numFmtId="4" fontId="10" fillId="4" borderId="16" xfId="0" applyNumberFormat="1" applyFont="1" applyFill="1" applyBorder="1" applyAlignment="1">
      <alignment horizontal="center" vertical="center" wrapText="1"/>
    </xf>
    <xf numFmtId="4" fontId="10" fillId="4" borderId="30" xfId="0" applyNumberFormat="1" applyFont="1" applyFill="1" applyBorder="1" applyAlignment="1">
      <alignment horizontal="center" vertical="center" wrapText="1"/>
    </xf>
    <xf numFmtId="1" fontId="1" fillId="2" borderId="8" xfId="0" applyNumberFormat="1" applyFont="1" applyFill="1" applyBorder="1" applyAlignment="1">
      <alignment horizontal="center" vertical="center"/>
    </xf>
    <xf numFmtId="3" fontId="11" fillId="2" borderId="9" xfId="0" applyNumberFormat="1" applyFont="1" applyFill="1" applyBorder="1" applyAlignment="1">
      <alignment horizontal="center"/>
    </xf>
    <xf numFmtId="4" fontId="10" fillId="4" borderId="18" xfId="0" applyNumberFormat="1" applyFont="1" applyFill="1" applyBorder="1" applyAlignment="1">
      <alignment horizontal="center"/>
    </xf>
    <xf numFmtId="16" fontId="2" fillId="2" borderId="10" xfId="0" applyNumberFormat="1" applyFont="1" applyFill="1" applyBorder="1"/>
    <xf numFmtId="4" fontId="8" fillId="2" borderId="33" xfId="0" applyNumberFormat="1" applyFont="1" applyFill="1" applyBorder="1" applyAlignment="1">
      <alignment vertical="center"/>
    </xf>
    <xf numFmtId="4" fontId="4" fillId="2" borderId="21" xfId="0" applyNumberFormat="1" applyFont="1" applyFill="1" applyBorder="1" applyAlignment="1">
      <alignment horizontal="center" vertical="center"/>
    </xf>
    <xf numFmtId="4" fontId="10" fillId="3" borderId="23" xfId="0" applyNumberFormat="1" applyFont="1" applyFill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2" borderId="16" xfId="0" applyNumberFormat="1" applyFont="1" applyFill="1" applyBorder="1" applyAlignment="1">
      <alignment vertical="center"/>
    </xf>
    <xf numFmtId="4" fontId="4" fillId="0" borderId="2" xfId="0" applyNumberFormat="1" applyFont="1" applyBorder="1" applyAlignment="1">
      <alignment horizontal="center"/>
    </xf>
    <xf numFmtId="1" fontId="4" fillId="2" borderId="27" xfId="0" applyNumberFormat="1" applyFont="1" applyFill="1" applyBorder="1" applyAlignment="1">
      <alignment horizontal="center" vertical="center"/>
    </xf>
    <xf numFmtId="4" fontId="4" fillId="2" borderId="42" xfId="0" applyNumberFormat="1" applyFont="1" applyFill="1" applyBorder="1" applyAlignment="1">
      <alignment horizontal="center"/>
    </xf>
    <xf numFmtId="1" fontId="4" fillId="8" borderId="27" xfId="0" applyNumberFormat="1" applyFont="1" applyFill="1" applyBorder="1" applyAlignment="1">
      <alignment horizontal="center" vertical="center"/>
    </xf>
    <xf numFmtId="16" fontId="2" fillId="8" borderId="21" xfId="0" applyNumberFormat="1" applyFont="1" applyFill="1" applyBorder="1"/>
    <xf numFmtId="1" fontId="15" fillId="0" borderId="0" xfId="0" applyNumberFormat="1" applyFont="1" applyBorder="1" applyAlignment="1">
      <alignment horizontal="center"/>
    </xf>
    <xf numFmtId="0" fontId="0" fillId="0" borderId="0" xfId="0" applyFont="1"/>
    <xf numFmtId="0" fontId="16" fillId="0" borderId="1" xfId="0" applyFont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4" fontId="19" fillId="0" borderId="2" xfId="0" applyNumberFormat="1" applyFont="1" applyBorder="1" applyAlignment="1">
      <alignment horizontal="center" vertical="center"/>
    </xf>
    <xf numFmtId="4" fontId="19" fillId="0" borderId="49" xfId="0" applyNumberFormat="1" applyFont="1" applyBorder="1" applyAlignment="1">
      <alignment horizontal="center"/>
    </xf>
    <xf numFmtId="0" fontId="21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/>
    </xf>
    <xf numFmtId="4" fontId="20" fillId="2" borderId="0" xfId="0" applyNumberFormat="1" applyFont="1" applyFill="1" applyBorder="1" applyAlignment="1">
      <alignment horizontal="center"/>
    </xf>
    <xf numFmtId="0" fontId="22" fillId="0" borderId="47" xfId="0" applyFont="1" applyBorder="1"/>
    <xf numFmtId="0" fontId="22" fillId="0" borderId="41" xfId="0" applyFont="1" applyBorder="1" applyAlignment="1">
      <alignment horizontal="right"/>
    </xf>
    <xf numFmtId="0" fontId="22" fillId="0" borderId="0" xfId="0" applyFont="1" applyAlignment="1">
      <alignment horizontal="right"/>
    </xf>
    <xf numFmtId="0" fontId="22" fillId="0" borderId="0" xfId="0" applyFont="1"/>
    <xf numFmtId="1" fontId="19" fillId="2" borderId="27" xfId="0" applyNumberFormat="1" applyFont="1" applyFill="1" applyBorder="1" applyAlignment="1">
      <alignment horizontal="center" vertical="center"/>
    </xf>
    <xf numFmtId="16" fontId="17" fillId="2" borderId="21" xfId="0" applyNumberFormat="1" applyFont="1" applyFill="1" applyBorder="1"/>
    <xf numFmtId="3" fontId="17" fillId="2" borderId="21" xfId="0" applyNumberFormat="1" applyFont="1" applyFill="1" applyBorder="1" applyAlignment="1">
      <alignment horizontal="center" vertical="center" wrapText="1"/>
    </xf>
    <xf numFmtId="3" fontId="17" fillId="2" borderId="28" xfId="0" applyNumberFormat="1" applyFont="1" applyFill="1" applyBorder="1" applyAlignment="1">
      <alignment horizontal="center" vertical="center" wrapText="1"/>
    </xf>
    <xf numFmtId="4" fontId="23" fillId="2" borderId="10" xfId="0" applyNumberFormat="1" applyFont="1" applyFill="1" applyBorder="1" applyAlignment="1">
      <alignment horizontal="center" vertical="center" wrapText="1"/>
    </xf>
    <xf numFmtId="4" fontId="23" fillId="2" borderId="21" xfId="0" applyNumberFormat="1" applyFont="1" applyFill="1" applyBorder="1" applyAlignment="1">
      <alignment horizontal="center" vertical="center" wrapText="1"/>
    </xf>
    <xf numFmtId="4" fontId="17" fillId="2" borderId="21" xfId="0" applyNumberFormat="1" applyFont="1" applyFill="1" applyBorder="1" applyAlignment="1">
      <alignment horizontal="center" vertical="center" wrapText="1"/>
    </xf>
    <xf numFmtId="4" fontId="25" fillId="2" borderId="53" xfId="0" applyNumberFormat="1" applyFont="1" applyFill="1" applyBorder="1" applyAlignment="1">
      <alignment horizontal="center"/>
    </xf>
    <xf numFmtId="4" fontId="19" fillId="2" borderId="27" xfId="0" applyNumberFormat="1" applyFont="1" applyFill="1" applyBorder="1" applyAlignment="1">
      <alignment horizontal="center"/>
    </xf>
    <xf numFmtId="4" fontId="19" fillId="2" borderId="25" xfId="0" applyNumberFormat="1" applyFont="1" applyFill="1" applyBorder="1" applyAlignment="1">
      <alignment horizontal="center"/>
    </xf>
    <xf numFmtId="4" fontId="19" fillId="2" borderId="26" xfId="0" applyNumberFormat="1" applyFont="1" applyFill="1" applyBorder="1" applyAlignment="1">
      <alignment horizontal="center"/>
    </xf>
    <xf numFmtId="4" fontId="19" fillId="2" borderId="0" xfId="0" applyNumberFormat="1" applyFont="1" applyFill="1" applyBorder="1" applyAlignment="1">
      <alignment horizontal="center"/>
    </xf>
    <xf numFmtId="1" fontId="26" fillId="0" borderId="47" xfId="0" applyNumberFormat="1" applyFont="1" applyBorder="1"/>
    <xf numFmtId="1" fontId="26" fillId="0" borderId="41" xfId="0" applyNumberFormat="1" applyFont="1" applyBorder="1"/>
    <xf numFmtId="1" fontId="26" fillId="0" borderId="0" xfId="0" applyNumberFormat="1" applyFont="1"/>
    <xf numFmtId="4" fontId="19" fillId="2" borderId="28" xfId="0" applyNumberFormat="1" applyFont="1" applyFill="1" applyBorder="1" applyAlignment="1">
      <alignment horizontal="center"/>
    </xf>
    <xf numFmtId="4" fontId="19" fillId="2" borderId="42" xfId="0" applyNumberFormat="1" applyFont="1" applyFill="1" applyBorder="1" applyAlignment="1">
      <alignment horizontal="center"/>
    </xf>
    <xf numFmtId="4" fontId="25" fillId="2" borderId="42" xfId="0" applyNumberFormat="1" applyFont="1" applyFill="1" applyBorder="1" applyAlignment="1">
      <alignment horizontal="center"/>
    </xf>
    <xf numFmtId="3" fontId="28" fillId="3" borderId="16" xfId="0" applyNumberFormat="1" applyFont="1" applyFill="1" applyBorder="1" applyAlignment="1">
      <alignment horizontal="center" vertical="center" wrapText="1"/>
    </xf>
    <xf numFmtId="3" fontId="28" fillId="3" borderId="36" xfId="0" applyNumberFormat="1" applyFont="1" applyFill="1" applyBorder="1" applyAlignment="1">
      <alignment horizontal="center" vertical="center" wrapText="1"/>
    </xf>
    <xf numFmtId="3" fontId="28" fillId="3" borderId="30" xfId="0" applyNumberFormat="1" applyFont="1" applyFill="1" applyBorder="1" applyAlignment="1">
      <alignment horizontal="center" vertical="center" wrapText="1"/>
    </xf>
    <xf numFmtId="4" fontId="28" fillId="3" borderId="16" xfId="0" applyNumberFormat="1" applyFont="1" applyFill="1" applyBorder="1" applyAlignment="1">
      <alignment horizontal="center" vertical="center" wrapText="1"/>
    </xf>
    <xf numFmtId="4" fontId="28" fillId="3" borderId="30" xfId="0" applyNumberFormat="1" applyFont="1" applyFill="1" applyBorder="1" applyAlignment="1">
      <alignment horizontal="center" vertical="center" wrapText="1"/>
    </xf>
    <xf numFmtId="4" fontId="19" fillId="2" borderId="16" xfId="0" applyNumberFormat="1" applyFont="1" applyFill="1" applyBorder="1" applyAlignment="1">
      <alignment vertical="center"/>
    </xf>
    <xf numFmtId="4" fontId="28" fillId="3" borderId="54" xfId="0" applyNumberFormat="1" applyFont="1" applyFill="1" applyBorder="1" applyAlignment="1">
      <alignment horizontal="center"/>
    </xf>
    <xf numFmtId="4" fontId="28" fillId="3" borderId="45" xfId="0" applyNumberFormat="1" applyFont="1" applyFill="1" applyBorder="1" applyAlignment="1">
      <alignment horizontal="center"/>
    </xf>
    <xf numFmtId="4" fontId="28" fillId="3" borderId="14" xfId="0" applyNumberFormat="1" applyFont="1" applyFill="1" applyBorder="1" applyAlignment="1">
      <alignment horizontal="center"/>
    </xf>
    <xf numFmtId="4" fontId="28" fillId="3" borderId="23" xfId="0" applyNumberFormat="1" applyFont="1" applyFill="1" applyBorder="1" applyAlignment="1">
      <alignment horizontal="center"/>
    </xf>
    <xf numFmtId="4" fontId="28" fillId="2" borderId="0" xfId="0" applyNumberFormat="1" applyFont="1" applyFill="1" applyBorder="1" applyAlignment="1">
      <alignment horizontal="center"/>
    </xf>
    <xf numFmtId="4" fontId="22" fillId="0" borderId="36" xfId="0" applyNumberFormat="1" applyFont="1" applyBorder="1"/>
    <xf numFmtId="4" fontId="22" fillId="0" borderId="16" xfId="0" applyNumberFormat="1" applyFont="1" applyBorder="1"/>
    <xf numFmtId="4" fontId="22" fillId="0" borderId="19" xfId="0" applyNumberFormat="1" applyFont="1" applyBorder="1"/>
    <xf numFmtId="0" fontId="22" fillId="0" borderId="19" xfId="0" applyFont="1" applyBorder="1"/>
    <xf numFmtId="1" fontId="16" fillId="2" borderId="8" xfId="0" applyNumberFormat="1" applyFont="1" applyFill="1" applyBorder="1" applyAlignment="1">
      <alignment horizontal="center" vertical="center"/>
    </xf>
    <xf numFmtId="16" fontId="17" fillId="2" borderId="9" xfId="0" applyNumberFormat="1" applyFont="1" applyFill="1" applyBorder="1"/>
    <xf numFmtId="3" fontId="17" fillId="2" borderId="9" xfId="0" applyNumberFormat="1" applyFont="1" applyFill="1" applyBorder="1" applyAlignment="1">
      <alignment horizontal="center" vertical="center" wrapText="1"/>
    </xf>
    <xf numFmtId="4" fontId="23" fillId="2" borderId="9" xfId="0" applyNumberFormat="1" applyFont="1" applyFill="1" applyBorder="1" applyAlignment="1">
      <alignment horizontal="center" vertical="center" wrapText="1"/>
    </xf>
    <xf numFmtId="4" fontId="17" fillId="2" borderId="9" xfId="0" applyNumberFormat="1" applyFont="1" applyFill="1" applyBorder="1" applyAlignment="1">
      <alignment horizontal="center" vertical="center" wrapText="1"/>
    </xf>
    <xf numFmtId="0" fontId="22" fillId="0" borderId="41" xfId="0" applyFont="1" applyBorder="1"/>
    <xf numFmtId="3" fontId="28" fillId="4" borderId="16" xfId="0" applyNumberFormat="1" applyFont="1" applyFill="1" applyBorder="1" applyAlignment="1">
      <alignment horizontal="center" vertical="center" wrapText="1"/>
    </xf>
    <xf numFmtId="3" fontId="27" fillId="4" borderId="36" xfId="0" applyNumberFormat="1" applyFont="1" applyFill="1" applyBorder="1" applyAlignment="1">
      <alignment horizontal="center"/>
    </xf>
    <xf numFmtId="3" fontId="28" fillId="4" borderId="30" xfId="0" applyNumberFormat="1" applyFont="1" applyFill="1" applyBorder="1" applyAlignment="1">
      <alignment horizontal="center" vertical="center" wrapText="1"/>
    </xf>
    <xf numFmtId="4" fontId="28" fillId="4" borderId="16" xfId="0" applyNumberFormat="1" applyFont="1" applyFill="1" applyBorder="1" applyAlignment="1">
      <alignment horizontal="center" vertical="center" wrapText="1"/>
    </xf>
    <xf numFmtId="4" fontId="28" fillId="4" borderId="30" xfId="0" applyNumberFormat="1" applyFont="1" applyFill="1" applyBorder="1" applyAlignment="1">
      <alignment horizontal="center" vertical="center" wrapText="1"/>
    </xf>
    <xf numFmtId="4" fontId="29" fillId="4" borderId="14" xfId="0" applyNumberFormat="1" applyFont="1" applyFill="1" applyBorder="1" applyAlignment="1">
      <alignment horizontal="center"/>
    </xf>
    <xf numFmtId="4" fontId="28" fillId="4" borderId="54" xfId="0" applyNumberFormat="1" applyFont="1" applyFill="1" applyBorder="1" applyAlignment="1">
      <alignment horizontal="center"/>
    </xf>
    <xf numFmtId="4" fontId="28" fillId="4" borderId="29" xfId="0" applyNumberFormat="1" applyFont="1" applyFill="1" applyBorder="1" applyAlignment="1">
      <alignment horizontal="center"/>
    </xf>
    <xf numFmtId="4" fontId="28" fillId="4" borderId="14" xfId="0" applyNumberFormat="1" applyFont="1" applyFill="1" applyBorder="1" applyAlignment="1">
      <alignment horizontal="center"/>
    </xf>
    <xf numFmtId="4" fontId="28" fillId="4" borderId="23" xfId="0" applyNumberFormat="1" applyFont="1" applyFill="1" applyBorder="1" applyAlignment="1">
      <alignment horizontal="center"/>
    </xf>
    <xf numFmtId="4" fontId="28" fillId="3" borderId="20" xfId="0" applyNumberFormat="1" applyFont="1" applyFill="1" applyBorder="1" applyAlignment="1">
      <alignment horizontal="center"/>
    </xf>
    <xf numFmtId="1" fontId="16" fillId="2" borderId="24" xfId="0" applyNumberFormat="1" applyFont="1" applyFill="1" applyBorder="1" applyAlignment="1">
      <alignment horizontal="center" vertical="center"/>
    </xf>
    <xf numFmtId="3" fontId="17" fillId="2" borderId="10" xfId="0" applyNumberFormat="1" applyFont="1" applyFill="1" applyBorder="1" applyAlignment="1">
      <alignment horizontal="center" vertical="center" wrapText="1"/>
    </xf>
    <xf numFmtId="3" fontId="31" fillId="2" borderId="25" xfId="0" applyNumberFormat="1" applyFont="1" applyFill="1" applyBorder="1" applyAlignment="1">
      <alignment horizontal="center"/>
    </xf>
    <xf numFmtId="4" fontId="17" fillId="2" borderId="10" xfId="0" applyNumberFormat="1" applyFont="1" applyFill="1" applyBorder="1" applyAlignment="1">
      <alignment horizontal="center" vertical="center" wrapText="1"/>
    </xf>
    <xf numFmtId="4" fontId="32" fillId="2" borderId="25" xfId="0" applyNumberFormat="1" applyFont="1" applyFill="1" applyBorder="1" applyAlignment="1">
      <alignment horizontal="center"/>
    </xf>
    <xf numFmtId="4" fontId="32" fillId="2" borderId="56" xfId="0" applyNumberFormat="1" applyFont="1" applyFill="1" applyBorder="1" applyAlignment="1">
      <alignment horizontal="center"/>
    </xf>
    <xf numFmtId="4" fontId="19" fillId="2" borderId="24" xfId="0" applyNumberFormat="1" applyFont="1" applyFill="1" applyBorder="1" applyAlignment="1">
      <alignment horizontal="center"/>
    </xf>
    <xf numFmtId="1" fontId="16" fillId="2" borderId="27" xfId="0" applyNumberFormat="1" applyFont="1" applyFill="1" applyBorder="1" applyAlignment="1">
      <alignment horizontal="center" vertical="center"/>
    </xf>
    <xf numFmtId="16" fontId="17" fillId="2" borderId="10" xfId="0" applyNumberFormat="1" applyFont="1" applyFill="1" applyBorder="1"/>
    <xf numFmtId="3" fontId="28" fillId="5" borderId="17" xfId="0" applyNumberFormat="1" applyFont="1" applyFill="1" applyBorder="1" applyAlignment="1">
      <alignment horizontal="center" vertical="center" wrapText="1"/>
    </xf>
    <xf numFmtId="3" fontId="27" fillId="5" borderId="36" xfId="0" applyNumberFormat="1" applyFont="1" applyFill="1" applyBorder="1" applyAlignment="1">
      <alignment horizontal="center"/>
    </xf>
    <xf numFmtId="3" fontId="28" fillId="5" borderId="15" xfId="0" applyNumberFormat="1" applyFont="1" applyFill="1" applyBorder="1" applyAlignment="1">
      <alignment horizontal="center" vertical="center" wrapText="1"/>
    </xf>
    <xf numFmtId="4" fontId="28" fillId="5" borderId="17" xfId="0" applyNumberFormat="1" applyFont="1" applyFill="1" applyBorder="1" applyAlignment="1">
      <alignment horizontal="center" vertical="center" wrapText="1"/>
    </xf>
    <xf numFmtId="4" fontId="28" fillId="5" borderId="15" xfId="0" applyNumberFormat="1" applyFont="1" applyFill="1" applyBorder="1" applyAlignment="1">
      <alignment horizontal="center" vertical="center" wrapText="1"/>
    </xf>
    <xf numFmtId="4" fontId="24" fillId="2" borderId="30" xfId="0" applyNumberFormat="1" applyFont="1" applyFill="1" applyBorder="1" applyAlignment="1">
      <alignment vertical="center"/>
    </xf>
    <xf numFmtId="4" fontId="29" fillId="14" borderId="14" xfId="0" applyNumberFormat="1" applyFont="1" applyFill="1" applyBorder="1" applyAlignment="1">
      <alignment horizontal="center"/>
    </xf>
    <xf numFmtId="4" fontId="28" fillId="14" borderId="54" xfId="0" applyNumberFormat="1" applyFont="1" applyFill="1" applyBorder="1" applyAlignment="1">
      <alignment horizontal="center"/>
    </xf>
    <xf numFmtId="4" fontId="24" fillId="14" borderId="45" xfId="0" applyNumberFormat="1" applyFont="1" applyFill="1" applyBorder="1" applyAlignment="1">
      <alignment horizontal="center"/>
    </xf>
    <xf numFmtId="4" fontId="28" fillId="14" borderId="14" xfId="0" applyNumberFormat="1" applyFont="1" applyFill="1" applyBorder="1" applyAlignment="1">
      <alignment horizontal="center"/>
    </xf>
    <xf numFmtId="4" fontId="24" fillId="5" borderId="23" xfId="0" applyNumberFormat="1" applyFont="1" applyFill="1" applyBorder="1" applyAlignment="1">
      <alignment horizontal="center"/>
    </xf>
    <xf numFmtId="4" fontId="24" fillId="2" borderId="0" xfId="0" applyNumberFormat="1" applyFont="1" applyFill="1" applyBorder="1" applyAlignment="1">
      <alignment horizontal="center"/>
    </xf>
    <xf numFmtId="1" fontId="33" fillId="2" borderId="10" xfId="0" applyNumberFormat="1" applyFont="1" applyFill="1" applyBorder="1" applyAlignment="1">
      <alignment horizontal="center" vertical="center"/>
    </xf>
    <xf numFmtId="3" fontId="33" fillId="2" borderId="25" xfId="0" applyNumberFormat="1" applyFont="1" applyFill="1" applyBorder="1" applyAlignment="1">
      <alignment horizontal="center" vertical="center"/>
    </xf>
    <xf numFmtId="4" fontId="24" fillId="2" borderId="44" xfId="0" applyNumberFormat="1" applyFont="1" applyFill="1" applyBorder="1" applyAlignment="1">
      <alignment horizontal="center" vertical="center"/>
    </xf>
    <xf numFmtId="4" fontId="25" fillId="2" borderId="25" xfId="0" applyNumberFormat="1" applyFont="1" applyFill="1" applyBorder="1" applyAlignment="1">
      <alignment horizontal="center"/>
    </xf>
    <xf numFmtId="4" fontId="25" fillId="2" borderId="56" xfId="0" applyNumberFormat="1" applyFont="1" applyFill="1" applyBorder="1" applyAlignment="1">
      <alignment horizontal="center"/>
    </xf>
    <xf numFmtId="1" fontId="16" fillId="0" borderId="47" xfId="0" applyNumberFormat="1" applyFont="1" applyBorder="1"/>
    <xf numFmtId="1" fontId="16" fillId="0" borderId="41" xfId="0" applyNumberFormat="1" applyFont="1" applyBorder="1"/>
    <xf numFmtId="0" fontId="16" fillId="2" borderId="0" xfId="0" applyFont="1" applyFill="1"/>
    <xf numFmtId="3" fontId="28" fillId="9" borderId="17" xfId="0" applyNumberFormat="1" applyFont="1" applyFill="1" applyBorder="1" applyAlignment="1">
      <alignment horizontal="center" vertical="center" wrapText="1"/>
    </xf>
    <xf numFmtId="3" fontId="27" fillId="9" borderId="14" xfId="0" applyNumberFormat="1" applyFont="1" applyFill="1" applyBorder="1" applyAlignment="1">
      <alignment horizontal="center"/>
    </xf>
    <xf numFmtId="4" fontId="28" fillId="9" borderId="17" xfId="0" applyNumberFormat="1" applyFont="1" applyFill="1" applyBorder="1" applyAlignment="1">
      <alignment horizontal="center" vertical="center" wrapText="1"/>
    </xf>
    <xf numFmtId="4" fontId="24" fillId="9" borderId="15" xfId="0" applyNumberFormat="1" applyFont="1" applyFill="1" applyBorder="1" applyAlignment="1">
      <alignment vertical="center"/>
    </xf>
    <xf numFmtId="4" fontId="29" fillId="9" borderId="14" xfId="0" applyNumberFormat="1" applyFont="1" applyFill="1" applyBorder="1" applyAlignment="1">
      <alignment horizontal="center"/>
    </xf>
    <xf numFmtId="4" fontId="28" fillId="9" borderId="54" xfId="0" applyNumberFormat="1" applyFont="1" applyFill="1" applyBorder="1" applyAlignment="1">
      <alignment horizontal="center"/>
    </xf>
    <xf numFmtId="4" fontId="24" fillId="9" borderId="45" xfId="0" applyNumberFormat="1" applyFont="1" applyFill="1" applyBorder="1" applyAlignment="1">
      <alignment horizontal="center" vertical="center"/>
    </xf>
    <xf numFmtId="4" fontId="28" fillId="9" borderId="14" xfId="0" applyNumberFormat="1" applyFont="1" applyFill="1" applyBorder="1" applyAlignment="1">
      <alignment horizontal="center"/>
    </xf>
    <xf numFmtId="4" fontId="24" fillId="9" borderId="23" xfId="0" applyNumberFormat="1" applyFont="1" applyFill="1" applyBorder="1" applyAlignment="1">
      <alignment horizontal="center" vertical="center"/>
    </xf>
    <xf numFmtId="4" fontId="34" fillId="2" borderId="25" xfId="0" applyNumberFormat="1" applyFont="1" applyFill="1" applyBorder="1"/>
    <xf numFmtId="4" fontId="34" fillId="2" borderId="10" xfId="0" applyNumberFormat="1" applyFont="1" applyFill="1" applyBorder="1"/>
    <xf numFmtId="4" fontId="34" fillId="2" borderId="46" xfId="0" applyNumberFormat="1" applyFont="1" applyFill="1" applyBorder="1"/>
    <xf numFmtId="0" fontId="34" fillId="2" borderId="0" xfId="0" applyFont="1" applyFill="1"/>
    <xf numFmtId="4" fontId="19" fillId="2" borderId="44" xfId="0" applyNumberFormat="1" applyFont="1" applyFill="1" applyBorder="1" applyAlignment="1">
      <alignment vertical="center"/>
    </xf>
    <xf numFmtId="1" fontId="16" fillId="2" borderId="0" xfId="0" applyNumberFormat="1" applyFont="1" applyFill="1"/>
    <xf numFmtId="3" fontId="28" fillId="10" borderId="17" xfId="0" applyNumberFormat="1" applyFont="1" applyFill="1" applyBorder="1" applyAlignment="1">
      <alignment horizontal="center" vertical="center" wrapText="1"/>
    </xf>
    <xf numFmtId="3" fontId="27" fillId="10" borderId="14" xfId="0" applyNumberFormat="1" applyFont="1" applyFill="1" applyBorder="1" applyAlignment="1">
      <alignment horizontal="center"/>
    </xf>
    <xf numFmtId="4" fontId="28" fillId="10" borderId="17" xfId="0" applyNumberFormat="1" applyFont="1" applyFill="1" applyBorder="1" applyAlignment="1">
      <alignment horizontal="center" vertical="center" wrapText="1"/>
    </xf>
    <xf numFmtId="4" fontId="24" fillId="10" borderId="15" xfId="0" applyNumberFormat="1" applyFont="1" applyFill="1" applyBorder="1" applyAlignment="1">
      <alignment vertical="center"/>
    </xf>
    <xf numFmtId="4" fontId="29" fillId="11" borderId="14" xfId="0" applyNumberFormat="1" applyFont="1" applyFill="1" applyBorder="1" applyAlignment="1">
      <alignment horizontal="center"/>
    </xf>
    <xf numFmtId="4" fontId="28" fillId="11" borderId="54" xfId="0" applyNumberFormat="1" applyFont="1" applyFill="1" applyBorder="1" applyAlignment="1">
      <alignment horizontal="center"/>
    </xf>
    <xf numFmtId="4" fontId="24" fillId="11" borderId="45" xfId="0" applyNumberFormat="1" applyFont="1" applyFill="1" applyBorder="1" applyAlignment="1">
      <alignment horizontal="center"/>
    </xf>
    <xf numFmtId="4" fontId="28" fillId="11" borderId="14" xfId="0" applyNumberFormat="1" applyFont="1" applyFill="1" applyBorder="1" applyAlignment="1">
      <alignment horizontal="center"/>
    </xf>
    <xf numFmtId="4" fontId="24" fillId="10" borderId="23" xfId="0" applyNumberFormat="1" applyFont="1" applyFill="1" applyBorder="1" applyAlignment="1">
      <alignment horizontal="center"/>
    </xf>
    <xf numFmtId="4" fontId="22" fillId="2" borderId="46" xfId="0" applyNumberFormat="1" applyFont="1" applyFill="1" applyBorder="1"/>
    <xf numFmtId="0" fontId="22" fillId="2" borderId="0" xfId="0" applyFont="1" applyFill="1"/>
    <xf numFmtId="3" fontId="28" fillId="8" borderId="17" xfId="0" applyNumberFormat="1" applyFont="1" applyFill="1" applyBorder="1" applyAlignment="1">
      <alignment horizontal="center" vertical="center" wrapText="1"/>
    </xf>
    <xf numFmtId="3" fontId="27" fillId="8" borderId="14" xfId="0" applyNumberFormat="1" applyFont="1" applyFill="1" applyBorder="1" applyAlignment="1">
      <alignment horizontal="center"/>
    </xf>
    <xf numFmtId="4" fontId="28" fillId="8" borderId="17" xfId="0" applyNumberFormat="1" applyFont="1" applyFill="1" applyBorder="1" applyAlignment="1">
      <alignment horizontal="center" vertical="center" wrapText="1"/>
    </xf>
    <xf numFmtId="4" fontId="24" fillId="8" borderId="15" xfId="0" applyNumberFormat="1" applyFont="1" applyFill="1" applyBorder="1" applyAlignment="1">
      <alignment vertical="center"/>
    </xf>
    <xf numFmtId="4" fontId="29" fillId="8" borderId="14" xfId="0" applyNumberFormat="1" applyFont="1" applyFill="1" applyBorder="1" applyAlignment="1">
      <alignment horizontal="center"/>
    </xf>
    <xf numFmtId="4" fontId="28" fillId="8" borderId="54" xfId="0" applyNumberFormat="1" applyFont="1" applyFill="1" applyBorder="1" applyAlignment="1">
      <alignment horizontal="center"/>
    </xf>
    <xf numFmtId="4" fontId="24" fillId="8" borderId="45" xfId="0" applyNumberFormat="1" applyFont="1" applyFill="1" applyBorder="1" applyAlignment="1">
      <alignment horizontal="center"/>
    </xf>
    <xf numFmtId="4" fontId="28" fillId="8" borderId="14" xfId="0" applyNumberFormat="1" applyFont="1" applyFill="1" applyBorder="1" applyAlignment="1">
      <alignment horizontal="center"/>
    </xf>
    <xf numFmtId="4" fontId="24" fillId="8" borderId="23" xfId="0" applyNumberFormat="1" applyFont="1" applyFill="1" applyBorder="1" applyAlignment="1">
      <alignment horizontal="center"/>
    </xf>
    <xf numFmtId="3" fontId="28" fillId="13" borderId="17" xfId="0" applyNumberFormat="1" applyFont="1" applyFill="1" applyBorder="1" applyAlignment="1">
      <alignment horizontal="center" vertical="center" wrapText="1"/>
    </xf>
    <xf numFmtId="3" fontId="27" fillId="13" borderId="14" xfId="0" applyNumberFormat="1" applyFont="1" applyFill="1" applyBorder="1" applyAlignment="1">
      <alignment horizontal="center"/>
    </xf>
    <xf numFmtId="4" fontId="28" fillId="13" borderId="17" xfId="0" applyNumberFormat="1" applyFont="1" applyFill="1" applyBorder="1" applyAlignment="1">
      <alignment horizontal="center" vertical="center" wrapText="1"/>
    </xf>
    <xf numFmtId="4" fontId="24" fillId="13" borderId="15" xfId="0" applyNumberFormat="1" applyFont="1" applyFill="1" applyBorder="1" applyAlignment="1">
      <alignment vertical="center"/>
    </xf>
    <xf numFmtId="4" fontId="29" fillId="13" borderId="14" xfId="0" applyNumberFormat="1" applyFont="1" applyFill="1" applyBorder="1" applyAlignment="1">
      <alignment horizontal="center"/>
    </xf>
    <xf numFmtId="4" fontId="28" fillId="13" borderId="54" xfId="0" applyNumberFormat="1" applyFont="1" applyFill="1" applyBorder="1" applyAlignment="1">
      <alignment horizontal="center"/>
    </xf>
    <xf numFmtId="4" fontId="24" fillId="13" borderId="45" xfId="0" applyNumberFormat="1" applyFont="1" applyFill="1" applyBorder="1" applyAlignment="1">
      <alignment horizontal="center"/>
    </xf>
    <xf numFmtId="4" fontId="28" fillId="13" borderId="14" xfId="0" applyNumberFormat="1" applyFont="1" applyFill="1" applyBorder="1" applyAlignment="1">
      <alignment horizontal="center"/>
    </xf>
    <xf numFmtId="4" fontId="24" fillId="13" borderId="23" xfId="0" applyNumberFormat="1" applyFont="1" applyFill="1" applyBorder="1" applyAlignment="1">
      <alignment horizontal="center"/>
    </xf>
    <xf numFmtId="3" fontId="28" fillId="12" borderId="17" xfId="0" applyNumberFormat="1" applyFont="1" applyFill="1" applyBorder="1" applyAlignment="1">
      <alignment horizontal="center" vertical="center" wrapText="1"/>
    </xf>
    <xf numFmtId="3" fontId="27" fillId="12" borderId="14" xfId="0" applyNumberFormat="1" applyFont="1" applyFill="1" applyBorder="1" applyAlignment="1">
      <alignment horizontal="center"/>
    </xf>
    <xf numFmtId="4" fontId="28" fillId="12" borderId="17" xfId="0" applyNumberFormat="1" applyFont="1" applyFill="1" applyBorder="1" applyAlignment="1">
      <alignment horizontal="center" vertical="center" wrapText="1"/>
    </xf>
    <xf numFmtId="4" fontId="20" fillId="12" borderId="17" xfId="0" applyNumberFormat="1" applyFont="1" applyFill="1" applyBorder="1" applyAlignment="1">
      <alignment horizontal="center" vertical="center"/>
    </xf>
    <xf numFmtId="4" fontId="24" fillId="12" borderId="15" xfId="0" applyNumberFormat="1" applyFont="1" applyFill="1" applyBorder="1" applyAlignment="1">
      <alignment vertical="center"/>
    </xf>
    <xf numFmtId="4" fontId="29" fillId="12" borderId="14" xfId="0" applyNumberFormat="1" applyFont="1" applyFill="1" applyBorder="1" applyAlignment="1">
      <alignment horizontal="center"/>
    </xf>
    <xf numFmtId="4" fontId="28" fillId="12" borderId="54" xfId="0" applyNumberFormat="1" applyFont="1" applyFill="1" applyBorder="1" applyAlignment="1">
      <alignment horizontal="center"/>
    </xf>
    <xf numFmtId="4" fontId="24" fillId="12" borderId="45" xfId="0" applyNumberFormat="1" applyFont="1" applyFill="1" applyBorder="1" applyAlignment="1">
      <alignment horizontal="center"/>
    </xf>
    <xf numFmtId="4" fontId="28" fillId="12" borderId="14" xfId="0" applyNumberFormat="1" applyFont="1" applyFill="1" applyBorder="1" applyAlignment="1">
      <alignment horizontal="center"/>
    </xf>
    <xf numFmtId="4" fontId="24" fillId="12" borderId="23" xfId="0" applyNumberFormat="1" applyFont="1" applyFill="1" applyBorder="1" applyAlignment="1">
      <alignment horizontal="center"/>
    </xf>
    <xf numFmtId="0" fontId="35" fillId="6" borderId="29" xfId="0" applyFont="1" applyFill="1" applyBorder="1" applyAlignment="1">
      <alignment horizontal="center" vertical="center"/>
    </xf>
    <xf numFmtId="0" fontId="35" fillId="6" borderId="16" xfId="0" applyFont="1" applyFill="1" applyBorder="1" applyAlignment="1">
      <alignment horizontal="center" vertical="center"/>
    </xf>
    <xf numFmtId="4" fontId="35" fillId="6" borderId="29" xfId="0" applyNumberFormat="1" applyFont="1" applyFill="1" applyBorder="1" applyAlignment="1">
      <alignment horizontal="center" vertical="center"/>
    </xf>
    <xf numFmtId="3" fontId="35" fillId="6" borderId="36" xfId="0" applyNumberFormat="1" applyFont="1" applyFill="1" applyBorder="1" applyAlignment="1">
      <alignment horizontal="center" vertical="center"/>
    </xf>
    <xf numFmtId="4" fontId="35" fillId="6" borderId="33" xfId="0" applyNumberFormat="1" applyFont="1" applyFill="1" applyBorder="1" applyAlignment="1">
      <alignment horizontal="center" vertical="center"/>
    </xf>
    <xf numFmtId="4" fontId="28" fillId="6" borderId="16" xfId="0" applyNumberFormat="1" applyFont="1" applyFill="1" applyBorder="1" applyAlignment="1">
      <alignment horizontal="center" vertical="center" wrapText="1"/>
    </xf>
    <xf numFmtId="4" fontId="35" fillId="6" borderId="36" xfId="0" applyNumberFormat="1" applyFont="1" applyFill="1" applyBorder="1" applyAlignment="1">
      <alignment horizontal="center" vertical="center"/>
    </xf>
    <xf numFmtId="4" fontId="35" fillId="6" borderId="23" xfId="0" applyNumberFormat="1" applyFont="1" applyFill="1" applyBorder="1" applyAlignment="1">
      <alignment horizontal="center" vertical="center"/>
    </xf>
    <xf numFmtId="4" fontId="32" fillId="6" borderId="17" xfId="0" applyNumberFormat="1" applyFont="1" applyFill="1" applyBorder="1" applyAlignment="1">
      <alignment horizontal="center" vertical="center"/>
    </xf>
    <xf numFmtId="4" fontId="32" fillId="6" borderId="38" xfId="0" applyNumberFormat="1" applyFont="1" applyFill="1" applyBorder="1" applyAlignment="1">
      <alignment horizontal="center" vertical="center"/>
    </xf>
    <xf numFmtId="4" fontId="24" fillId="6" borderId="29" xfId="0" applyNumberFormat="1" applyFont="1" applyFill="1" applyBorder="1" applyAlignment="1">
      <alignment horizontal="center" vertical="center"/>
    </xf>
    <xf numFmtId="4" fontId="24" fillId="6" borderId="38" xfId="0" applyNumberFormat="1" applyFont="1" applyFill="1" applyBorder="1" applyAlignment="1">
      <alignment horizontal="center" vertical="center"/>
    </xf>
    <xf numFmtId="4" fontId="24" fillId="2" borderId="0" xfId="0" applyNumberFormat="1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/>
    </xf>
    <xf numFmtId="4" fontId="35" fillId="2" borderId="0" xfId="0" applyNumberFormat="1" applyFont="1" applyFill="1" applyBorder="1" applyAlignment="1">
      <alignment horizontal="center" vertical="center"/>
    </xf>
    <xf numFmtId="3" fontId="35" fillId="2" borderId="0" xfId="0" applyNumberFormat="1" applyFont="1" applyFill="1" applyBorder="1" applyAlignment="1">
      <alignment horizontal="center" vertical="center"/>
    </xf>
    <xf numFmtId="4" fontId="28" fillId="2" borderId="0" xfId="0" applyNumberFormat="1" applyFont="1" applyFill="1" applyBorder="1" applyAlignment="1">
      <alignment horizontal="center" vertical="center" wrapText="1"/>
    </xf>
    <xf numFmtId="4" fontId="32" fillId="2" borderId="41" xfId="0" applyNumberFormat="1" applyFont="1" applyFill="1" applyBorder="1" applyAlignment="1">
      <alignment horizontal="center" vertical="center"/>
    </xf>
    <xf numFmtId="4" fontId="32" fillId="2" borderId="0" xfId="0" applyNumberFormat="1" applyFont="1" applyFill="1" applyBorder="1" applyAlignment="1">
      <alignment horizontal="center" vertical="center"/>
    </xf>
    <xf numFmtId="1" fontId="26" fillId="2" borderId="0" xfId="0" applyNumberFormat="1" applyFont="1" applyFill="1"/>
    <xf numFmtId="0" fontId="22" fillId="0" borderId="0" xfId="0" applyFont="1" applyAlignment="1">
      <alignment horizontal="center" vertical="center"/>
    </xf>
    <xf numFmtId="4" fontId="26" fillId="0" borderId="0" xfId="0" quotePrefix="1" applyNumberFormat="1" applyFont="1"/>
    <xf numFmtId="4" fontId="36" fillId="0" borderId="0" xfId="0" applyNumberFormat="1" applyFont="1" applyAlignment="1">
      <alignment horizontal="center"/>
    </xf>
    <xf numFmtId="4" fontId="22" fillId="0" borderId="0" xfId="0" applyNumberFormat="1" applyFont="1" applyAlignment="1">
      <alignment horizontal="center"/>
    </xf>
    <xf numFmtId="4" fontId="16" fillId="0" borderId="0" xfId="0" applyNumberFormat="1" applyFont="1" applyBorder="1" applyAlignment="1">
      <alignment horizontal="center"/>
    </xf>
    <xf numFmtId="4" fontId="22" fillId="0" borderId="0" xfId="0" applyNumberFormat="1" applyFont="1" applyBorder="1" applyAlignment="1">
      <alignment horizontal="center"/>
    </xf>
    <xf numFmtId="4" fontId="22" fillId="0" borderId="0" xfId="0" applyNumberFormat="1" applyFont="1" applyAlignment="1">
      <alignment horizontal="center" vertical="center"/>
    </xf>
    <xf numFmtId="4" fontId="22" fillId="15" borderId="21" xfId="0" applyNumberFormat="1" applyFont="1" applyFill="1" applyBorder="1" applyAlignment="1">
      <alignment horizontal="center"/>
    </xf>
    <xf numFmtId="4" fontId="35" fillId="2" borderId="0" xfId="0" applyNumberFormat="1" applyFont="1" applyFill="1" applyBorder="1" applyAlignment="1"/>
    <xf numFmtId="4" fontId="35" fillId="2" borderId="0" xfId="0" applyNumberFormat="1" applyFont="1" applyFill="1" applyBorder="1" applyAlignment="1">
      <alignment horizontal="center"/>
    </xf>
    <xf numFmtId="0" fontId="26" fillId="0" borderId="0" xfId="0" applyFont="1"/>
    <xf numFmtId="0" fontId="36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2" borderId="0" xfId="0" applyFont="1" applyFill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4" fontId="22" fillId="2" borderId="0" xfId="0" applyNumberFormat="1" applyFont="1" applyFill="1" applyBorder="1" applyAlignment="1">
      <alignment horizontal="center"/>
    </xf>
    <xf numFmtId="4" fontId="22" fillId="0" borderId="0" xfId="0" applyNumberFormat="1" applyFont="1"/>
    <xf numFmtId="0" fontId="35" fillId="7" borderId="21" xfId="0" applyFont="1" applyFill="1" applyBorder="1" applyAlignment="1">
      <alignment horizontal="center"/>
    </xf>
    <xf numFmtId="3" fontId="0" fillId="0" borderId="0" xfId="0" applyNumberFormat="1"/>
    <xf numFmtId="0" fontId="0" fillId="0" borderId="0" xfId="0" applyBorder="1"/>
    <xf numFmtId="0" fontId="2" fillId="0" borderId="7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4" fontId="19" fillId="2" borderId="10" xfId="0" applyNumberFormat="1" applyFont="1" applyFill="1" applyBorder="1" applyAlignment="1">
      <alignment horizontal="center" vertical="center"/>
    </xf>
    <xf numFmtId="4" fontId="39" fillId="2" borderId="21" xfId="0" applyNumberFormat="1" applyFont="1" applyFill="1" applyBorder="1" applyAlignment="1">
      <alignment horizontal="center" vertical="center" wrapText="1"/>
    </xf>
    <xf numFmtId="16" fontId="39" fillId="2" borderId="21" xfId="0" applyNumberFormat="1" applyFont="1" applyFill="1" applyBorder="1" applyAlignment="1">
      <alignment horizontal="center" vertical="center"/>
    </xf>
    <xf numFmtId="1" fontId="38" fillId="0" borderId="59" xfId="0" applyNumberFormat="1" applyFont="1" applyFill="1" applyBorder="1" applyAlignment="1">
      <alignment horizontal="center" vertical="center"/>
    </xf>
    <xf numFmtId="16" fontId="39" fillId="2" borderId="39" xfId="0" applyNumberFormat="1" applyFont="1" applyFill="1" applyBorder="1" applyAlignment="1">
      <alignment horizontal="center" vertical="center"/>
    </xf>
    <xf numFmtId="3" fontId="39" fillId="2" borderId="39" xfId="0" applyNumberFormat="1" applyFont="1" applyFill="1" applyBorder="1" applyAlignment="1">
      <alignment horizontal="center" vertical="center" wrapText="1"/>
    </xf>
    <xf numFmtId="4" fontId="39" fillId="2" borderId="39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 vertical="center"/>
    </xf>
    <xf numFmtId="0" fontId="9" fillId="0" borderId="0" xfId="0" applyFont="1" applyAlignment="1">
      <alignment vertical="center"/>
    </xf>
    <xf numFmtId="4" fontId="39" fillId="2" borderId="60" xfId="0" applyNumberFormat="1" applyFont="1" applyFill="1" applyBorder="1" applyAlignment="1">
      <alignment horizontal="center" vertical="center" wrapText="1"/>
    </xf>
    <xf numFmtId="3" fontId="9" fillId="0" borderId="17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4" fontId="10" fillId="2" borderId="17" xfId="0" applyNumberFormat="1" applyFont="1" applyFill="1" applyBorder="1" applyAlignment="1">
      <alignment horizontal="center" vertical="center" wrapText="1"/>
    </xf>
    <xf numFmtId="4" fontId="9" fillId="0" borderId="17" xfId="0" applyNumberFormat="1" applyFont="1" applyBorder="1" applyAlignment="1">
      <alignment horizontal="center" vertical="center"/>
    </xf>
    <xf numFmtId="4" fontId="9" fillId="0" borderId="23" xfId="0" applyNumberFormat="1" applyFont="1" applyBorder="1" applyAlignment="1">
      <alignment horizontal="center" vertical="center"/>
    </xf>
    <xf numFmtId="16" fontId="17" fillId="2" borderId="9" xfId="0" applyNumberFormat="1" applyFont="1" applyFill="1" applyBorder="1" applyAlignment="1">
      <alignment horizontal="center" vertical="center"/>
    </xf>
    <xf numFmtId="3" fontId="30" fillId="2" borderId="43" xfId="0" applyNumberFormat="1" applyFont="1" applyFill="1" applyBorder="1" applyAlignment="1">
      <alignment horizontal="center" vertical="center"/>
    </xf>
    <xf numFmtId="4" fontId="25" fillId="2" borderId="43" xfId="0" applyNumberFormat="1" applyFont="1" applyFill="1" applyBorder="1" applyAlignment="1">
      <alignment horizontal="center" vertical="center"/>
    </xf>
    <xf numFmtId="4" fontId="25" fillId="2" borderId="55" xfId="0" applyNumberFormat="1" applyFont="1" applyFill="1" applyBorder="1" applyAlignment="1">
      <alignment horizontal="center" vertical="center"/>
    </xf>
    <xf numFmtId="4" fontId="19" fillId="2" borderId="8" xfId="0" applyNumberFormat="1" applyFont="1" applyFill="1" applyBorder="1" applyAlignment="1">
      <alignment horizontal="center" vertical="center"/>
    </xf>
    <xf numFmtId="4" fontId="19" fillId="2" borderId="25" xfId="0" applyNumberFormat="1" applyFont="1" applyFill="1" applyBorder="1" applyAlignment="1">
      <alignment horizontal="center" vertical="center"/>
    </xf>
    <xf numFmtId="4" fontId="19" fillId="2" borderId="26" xfId="0" applyNumberFormat="1" applyFont="1" applyFill="1" applyBorder="1" applyAlignment="1">
      <alignment horizontal="center" vertical="center"/>
    </xf>
    <xf numFmtId="4" fontId="19" fillId="2" borderId="0" xfId="0" applyNumberFormat="1" applyFont="1" applyFill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4" fontId="19" fillId="2" borderId="56" xfId="0" applyNumberFormat="1" applyFont="1" applyFill="1" applyBorder="1" applyAlignment="1">
      <alignment horizontal="center"/>
    </xf>
    <xf numFmtId="4" fontId="40" fillId="2" borderId="10" xfId="0" applyNumberFormat="1" applyFont="1" applyFill="1" applyBorder="1" applyAlignment="1">
      <alignment horizontal="center" vertical="center"/>
    </xf>
    <xf numFmtId="4" fontId="29" fillId="3" borderId="36" xfId="0" applyNumberFormat="1" applyFont="1" applyFill="1" applyBorder="1" applyAlignment="1">
      <alignment horizontal="center"/>
    </xf>
    <xf numFmtId="4" fontId="25" fillId="2" borderId="9" xfId="0" applyNumberFormat="1" applyFont="1" applyFill="1" applyBorder="1" applyAlignment="1">
      <alignment horizontal="center"/>
    </xf>
    <xf numFmtId="4" fontId="25" fillId="2" borderId="10" xfId="0" applyNumberFormat="1" applyFont="1" applyFill="1" applyBorder="1" applyAlignment="1">
      <alignment horizontal="center"/>
    </xf>
    <xf numFmtId="3" fontId="30" fillId="2" borderId="28" xfId="0" applyNumberFormat="1" applyFont="1" applyFill="1" applyBorder="1" applyAlignment="1">
      <alignment horizontal="center" vertical="center"/>
    </xf>
    <xf numFmtId="3" fontId="41" fillId="2" borderId="25" xfId="0" applyNumberFormat="1" applyFont="1" applyFill="1" applyBorder="1" applyAlignment="1">
      <alignment horizontal="center" vertical="center"/>
    </xf>
    <xf numFmtId="4" fontId="20" fillId="2" borderId="17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14" fontId="0" fillId="0" borderId="21" xfId="0" applyNumberFormat="1" applyBorder="1" applyAlignment="1">
      <alignment horizontal="center"/>
    </xf>
    <xf numFmtId="0" fontId="12" fillId="8" borderId="21" xfId="0" applyFont="1" applyFill="1" applyBorder="1" applyAlignment="1">
      <alignment vertical="center"/>
    </xf>
    <xf numFmtId="0" fontId="37" fillId="4" borderId="21" xfId="0" applyFont="1" applyFill="1" applyBorder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4" fontId="0" fillId="3" borderId="21" xfId="0" applyNumberFormat="1" applyFill="1" applyBorder="1" applyAlignment="1">
      <alignment horizontal="center" vertical="center"/>
    </xf>
    <xf numFmtId="4" fontId="0" fillId="3" borderId="21" xfId="0" applyNumberFormat="1" applyFont="1" applyFill="1" applyBorder="1" applyAlignment="1">
      <alignment horizontal="center" vertical="center"/>
    </xf>
    <xf numFmtId="4" fontId="37" fillId="3" borderId="21" xfId="0" applyNumberFormat="1" applyFont="1" applyFill="1" applyBorder="1" applyAlignment="1">
      <alignment horizontal="center" vertical="center"/>
    </xf>
    <xf numFmtId="0" fontId="0" fillId="3" borderId="21" xfId="0" applyFill="1" applyBorder="1"/>
    <xf numFmtId="0" fontId="0" fillId="0" borderId="0" xfId="0" applyFont="1" applyBorder="1"/>
    <xf numFmtId="4" fontId="37" fillId="0" borderId="21" xfId="0" applyNumberFormat="1" applyFont="1" applyBorder="1" applyAlignment="1">
      <alignment horizontal="center" vertical="center"/>
    </xf>
    <xf numFmtId="0" fontId="0" fillId="9" borderId="37" xfId="0" applyFill="1" applyBorder="1"/>
    <xf numFmtId="0" fontId="0" fillId="0" borderId="0" xfId="0" applyAlignment="1">
      <alignment horizontal="right" vertical="center"/>
    </xf>
    <xf numFmtId="0" fontId="0" fillId="0" borderId="47" xfId="0" applyBorder="1" applyAlignment="1">
      <alignment horizontal="center" vertical="center"/>
    </xf>
    <xf numFmtId="4" fontId="0" fillId="3" borderId="28" xfId="0" applyNumberFormat="1" applyFill="1" applyBorder="1" applyAlignment="1">
      <alignment horizontal="center" vertical="center"/>
    </xf>
    <xf numFmtId="4" fontId="0" fillId="3" borderId="0" xfId="0" applyNumberFormat="1" applyFill="1" applyBorder="1" applyAlignment="1">
      <alignment horizontal="center" vertical="center"/>
    </xf>
    <xf numFmtId="0" fontId="42" fillId="0" borderId="0" xfId="0" applyFont="1"/>
    <xf numFmtId="4" fontId="42" fillId="0" borderId="0" xfId="0" applyNumberFormat="1" applyFont="1"/>
    <xf numFmtId="1" fontId="44" fillId="0" borderId="0" xfId="0" applyNumberFormat="1" applyFont="1" applyAlignment="1"/>
    <xf numFmtId="0" fontId="45" fillId="0" borderId="0" xfId="0" applyFont="1" applyFill="1" applyAlignment="1">
      <alignment vertical="center"/>
    </xf>
    <xf numFmtId="0" fontId="46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4" fontId="43" fillId="0" borderId="0" xfId="0" applyNumberFormat="1" applyFont="1"/>
    <xf numFmtId="10" fontId="39" fillId="2" borderId="39" xfId="0" applyNumberFormat="1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/>
    </xf>
    <xf numFmtId="0" fontId="0" fillId="0" borderId="4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wrapText="1"/>
    </xf>
    <xf numFmtId="0" fontId="37" fillId="4" borderId="21" xfId="0" applyFont="1" applyFill="1" applyBorder="1" applyAlignment="1">
      <alignment horizontal="center" vertical="center"/>
    </xf>
    <xf numFmtId="0" fontId="15" fillId="8" borderId="21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37" fillId="0" borderId="37" xfId="0" applyFont="1" applyBorder="1" applyAlignment="1">
      <alignment horizontal="center"/>
    </xf>
    <xf numFmtId="0" fontId="37" fillId="0" borderId="28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37" fillId="9" borderId="21" xfId="0" applyFont="1" applyFill="1" applyBorder="1" applyAlignment="1">
      <alignment horizontal="center"/>
    </xf>
    <xf numFmtId="4" fontId="35" fillId="7" borderId="37" xfId="0" applyNumberFormat="1" applyFont="1" applyFill="1" applyBorder="1" applyAlignment="1">
      <alignment horizontal="center"/>
    </xf>
    <xf numFmtId="0" fontId="35" fillId="7" borderId="28" xfId="0" applyFont="1" applyFill="1" applyBorder="1" applyAlignment="1">
      <alignment horizontal="center"/>
    </xf>
    <xf numFmtId="4" fontId="19" fillId="2" borderId="57" xfId="0" applyNumberFormat="1" applyFont="1" applyFill="1" applyBorder="1" applyAlignment="1">
      <alignment horizontal="center"/>
    </xf>
    <xf numFmtId="4" fontId="19" fillId="2" borderId="43" xfId="0" applyNumberFormat="1" applyFont="1" applyFill="1" applyBorder="1" applyAlignment="1">
      <alignment horizontal="center"/>
    </xf>
    <xf numFmtId="4" fontId="24" fillId="2" borderId="12" xfId="0" applyNumberFormat="1" applyFont="1" applyFill="1" applyBorder="1" applyAlignment="1">
      <alignment horizontal="center" vertical="center"/>
    </xf>
    <xf numFmtId="4" fontId="24" fillId="2" borderId="51" xfId="0" applyNumberFormat="1" applyFont="1" applyFill="1" applyBorder="1" applyAlignment="1">
      <alignment horizontal="center" vertical="center"/>
    </xf>
    <xf numFmtId="4" fontId="22" fillId="0" borderId="21" xfId="0" applyNumberFormat="1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4" fontId="35" fillId="15" borderId="21" xfId="0" applyNumberFormat="1" applyFont="1" applyFill="1" applyBorder="1" applyAlignment="1">
      <alignment horizontal="center"/>
    </xf>
    <xf numFmtId="4" fontId="24" fillId="9" borderId="13" xfId="0" applyNumberFormat="1" applyFont="1" applyFill="1" applyBorder="1" applyAlignment="1">
      <alignment horizontal="center" vertical="center"/>
    </xf>
    <xf numFmtId="4" fontId="24" fillId="9" borderId="14" xfId="0" applyNumberFormat="1" applyFont="1" applyFill="1" applyBorder="1" applyAlignment="1">
      <alignment horizontal="center" vertical="center"/>
    </xf>
    <xf numFmtId="4" fontId="24" fillId="10" borderId="13" xfId="0" applyNumberFormat="1" applyFont="1" applyFill="1" applyBorder="1" applyAlignment="1">
      <alignment horizontal="center"/>
    </xf>
    <xf numFmtId="4" fontId="24" fillId="10" borderId="14" xfId="0" applyNumberFormat="1" applyFont="1" applyFill="1" applyBorder="1" applyAlignment="1">
      <alignment horizontal="center"/>
    </xf>
    <xf numFmtId="4" fontId="24" fillId="8" borderId="13" xfId="0" applyNumberFormat="1" applyFont="1" applyFill="1" applyBorder="1" applyAlignment="1">
      <alignment horizontal="center"/>
    </xf>
    <xf numFmtId="4" fontId="24" fillId="8" borderId="14" xfId="0" applyNumberFormat="1" applyFont="1" applyFill="1" applyBorder="1" applyAlignment="1">
      <alignment horizontal="center"/>
    </xf>
    <xf numFmtId="4" fontId="24" fillId="13" borderId="13" xfId="0" applyNumberFormat="1" applyFont="1" applyFill="1" applyBorder="1" applyAlignment="1">
      <alignment horizontal="center"/>
    </xf>
    <xf numFmtId="4" fontId="24" fillId="13" borderId="14" xfId="0" applyNumberFormat="1" applyFont="1" applyFill="1" applyBorder="1" applyAlignment="1">
      <alignment horizontal="center"/>
    </xf>
    <xf numFmtId="4" fontId="24" fillId="12" borderId="13" xfId="0" applyNumberFormat="1" applyFont="1" applyFill="1" applyBorder="1" applyAlignment="1">
      <alignment horizontal="center"/>
    </xf>
    <xf numFmtId="4" fontId="24" fillId="12" borderId="14" xfId="0" applyNumberFormat="1" applyFont="1" applyFill="1" applyBorder="1" applyAlignment="1">
      <alignment horizontal="center"/>
    </xf>
    <xf numFmtId="1" fontId="27" fillId="9" borderId="13" xfId="0" applyNumberFormat="1" applyFont="1" applyFill="1" applyBorder="1" applyAlignment="1">
      <alignment horizontal="center" vertical="center"/>
    </xf>
    <xf numFmtId="1" fontId="27" fillId="9" borderId="14" xfId="0" applyNumberFormat="1" applyFont="1" applyFill="1" applyBorder="1" applyAlignment="1">
      <alignment horizontal="center" vertical="center"/>
    </xf>
    <xf numFmtId="1" fontId="27" fillId="10" borderId="13" xfId="0" applyNumberFormat="1" applyFont="1" applyFill="1" applyBorder="1" applyAlignment="1">
      <alignment horizontal="center" vertical="center"/>
    </xf>
    <xf numFmtId="1" fontId="27" fillId="10" borderId="14" xfId="0" applyNumberFormat="1" applyFont="1" applyFill="1" applyBorder="1" applyAlignment="1">
      <alignment horizontal="center" vertical="center"/>
    </xf>
    <xf numFmtId="1" fontId="27" fillId="8" borderId="13" xfId="0" applyNumberFormat="1" applyFont="1" applyFill="1" applyBorder="1" applyAlignment="1">
      <alignment horizontal="center" vertical="center"/>
    </xf>
    <xf numFmtId="1" fontId="27" fillId="8" borderId="14" xfId="0" applyNumberFormat="1" applyFont="1" applyFill="1" applyBorder="1" applyAlignment="1">
      <alignment horizontal="center" vertical="center"/>
    </xf>
    <xf numFmtId="1" fontId="27" fillId="13" borderId="13" xfId="0" applyNumberFormat="1" applyFont="1" applyFill="1" applyBorder="1" applyAlignment="1">
      <alignment horizontal="center" vertical="center"/>
    </xf>
    <xf numFmtId="1" fontId="27" fillId="13" borderId="14" xfId="0" applyNumberFormat="1" applyFont="1" applyFill="1" applyBorder="1" applyAlignment="1">
      <alignment horizontal="center" vertical="center"/>
    </xf>
    <xf numFmtId="1" fontId="27" fillId="12" borderId="13" xfId="0" applyNumberFormat="1" applyFont="1" applyFill="1" applyBorder="1" applyAlignment="1">
      <alignment horizontal="center" vertical="center"/>
    </xf>
    <xf numFmtId="1" fontId="27" fillId="12" borderId="14" xfId="0" applyNumberFormat="1" applyFont="1" applyFill="1" applyBorder="1" applyAlignment="1">
      <alignment horizontal="center" vertical="center"/>
    </xf>
    <xf numFmtId="1" fontId="15" fillId="0" borderId="19" xfId="0" applyNumberFormat="1" applyFont="1" applyBorder="1" applyAlignment="1">
      <alignment horizontal="center"/>
    </xf>
    <xf numFmtId="4" fontId="24" fillId="6" borderId="29" xfId="0" applyNumberFormat="1" applyFont="1" applyFill="1" applyBorder="1" applyAlignment="1">
      <alignment horizontal="center" vertical="center"/>
    </xf>
    <xf numFmtId="4" fontId="24" fillId="6" borderId="16" xfId="0" applyNumberFormat="1" applyFont="1" applyFill="1" applyBorder="1" applyAlignment="1">
      <alignment horizontal="center" vertical="center"/>
    </xf>
    <xf numFmtId="4" fontId="24" fillId="5" borderId="13" xfId="0" applyNumberFormat="1" applyFont="1" applyFill="1" applyBorder="1" applyAlignment="1">
      <alignment horizontal="center"/>
    </xf>
    <xf numFmtId="4" fontId="24" fillId="5" borderId="14" xfId="0" applyNumberFormat="1" applyFont="1" applyFill="1" applyBorder="1" applyAlignment="1">
      <alignment horizontal="center"/>
    </xf>
    <xf numFmtId="1" fontId="27" fillId="5" borderId="13" xfId="0" applyNumberFormat="1" applyFont="1" applyFill="1" applyBorder="1" applyAlignment="1">
      <alignment horizontal="center" vertical="center"/>
    </xf>
    <xf numFmtId="1" fontId="27" fillId="5" borderId="14" xfId="0" applyNumberFormat="1" applyFont="1" applyFill="1" applyBorder="1" applyAlignment="1">
      <alignment horizontal="center" vertical="center"/>
    </xf>
    <xf numFmtId="4" fontId="20" fillId="2" borderId="27" xfId="0" applyNumberFormat="1" applyFont="1" applyFill="1" applyBorder="1" applyAlignment="1">
      <alignment horizontal="center"/>
    </xf>
    <xf numFmtId="4" fontId="20" fillId="2" borderId="21" xfId="0" applyNumberFormat="1" applyFont="1" applyFill="1" applyBorder="1" applyAlignment="1">
      <alignment horizontal="center"/>
    </xf>
    <xf numFmtId="4" fontId="20" fillId="2" borderId="24" xfId="0" applyNumberFormat="1" applyFont="1" applyFill="1" applyBorder="1" applyAlignment="1">
      <alignment horizontal="center"/>
    </xf>
    <xf numFmtId="4" fontId="20" fillId="2" borderId="10" xfId="0" applyNumberFormat="1" applyFont="1" applyFill="1" applyBorder="1" applyAlignment="1">
      <alignment horizontal="center"/>
    </xf>
    <xf numFmtId="4" fontId="20" fillId="0" borderId="1" xfId="0" applyNumberFormat="1" applyFont="1" applyBorder="1" applyAlignment="1">
      <alignment horizontal="center"/>
    </xf>
    <xf numFmtId="4" fontId="20" fillId="0" borderId="2" xfId="0" applyNumberFormat="1" applyFont="1" applyBorder="1" applyAlignment="1">
      <alignment horizontal="center"/>
    </xf>
    <xf numFmtId="4" fontId="24" fillId="2" borderId="50" xfId="0" applyNumberFormat="1" applyFont="1" applyFill="1" applyBorder="1" applyAlignment="1">
      <alignment horizontal="center" vertical="center"/>
    </xf>
    <xf numFmtId="4" fontId="24" fillId="2" borderId="30" xfId="0" applyNumberFormat="1" applyFont="1" applyFill="1" applyBorder="1" applyAlignment="1">
      <alignment horizontal="center" vertical="center"/>
    </xf>
    <xf numFmtId="4" fontId="19" fillId="2" borderId="48" xfId="0" applyNumberFormat="1" applyFont="1" applyFill="1" applyBorder="1" applyAlignment="1">
      <alignment horizontal="center" vertical="center"/>
    </xf>
    <xf numFmtId="4" fontId="19" fillId="2" borderId="16" xfId="0" applyNumberFormat="1" applyFont="1" applyFill="1" applyBorder="1" applyAlignment="1">
      <alignment horizontal="center" vertical="center"/>
    </xf>
    <xf numFmtId="4" fontId="24" fillId="2" borderId="52" xfId="0" applyNumberFormat="1" applyFont="1" applyFill="1" applyBorder="1" applyAlignment="1">
      <alignment horizontal="center" vertical="center"/>
    </xf>
    <xf numFmtId="4" fontId="19" fillId="2" borderId="8" xfId="0" applyNumberFormat="1" applyFont="1" applyFill="1" applyBorder="1" applyAlignment="1">
      <alignment horizontal="center" vertical="center"/>
    </xf>
    <xf numFmtId="4" fontId="19" fillId="2" borderId="9" xfId="0" applyNumberFormat="1" applyFont="1" applyFill="1" applyBorder="1" applyAlignment="1">
      <alignment horizontal="center" vertical="center"/>
    </xf>
    <xf numFmtId="4" fontId="19" fillId="2" borderId="10" xfId="0" applyNumberFormat="1" applyFont="1" applyFill="1" applyBorder="1" applyAlignment="1">
      <alignment horizontal="center" vertical="center"/>
    </xf>
    <xf numFmtId="1" fontId="27" fillId="4" borderId="35" xfId="0" applyNumberFormat="1" applyFont="1" applyFill="1" applyBorder="1" applyAlignment="1">
      <alignment horizontal="center" vertical="center"/>
    </xf>
    <xf numFmtId="1" fontId="27" fillId="4" borderId="36" xfId="0" applyNumberFormat="1" applyFont="1" applyFill="1" applyBorder="1" applyAlignment="1">
      <alignment horizontal="center" vertical="center"/>
    </xf>
    <xf numFmtId="4" fontId="19" fillId="2" borderId="39" xfId="0" applyNumberFormat="1" applyFont="1" applyFill="1" applyBorder="1" applyAlignment="1">
      <alignment horizontal="center" vertical="center"/>
    </xf>
    <xf numFmtId="1" fontId="27" fillId="3" borderId="35" xfId="0" applyNumberFormat="1" applyFont="1" applyFill="1" applyBorder="1" applyAlignment="1">
      <alignment horizontal="center" vertical="center"/>
    </xf>
    <xf numFmtId="1" fontId="27" fillId="3" borderId="36" xfId="0" applyNumberFormat="1" applyFont="1" applyFill="1" applyBorder="1" applyAlignment="1">
      <alignment horizontal="center" vertical="center"/>
    </xf>
    <xf numFmtId="4" fontId="28" fillId="3" borderId="13" xfId="0" applyNumberFormat="1" applyFont="1" applyFill="1" applyBorder="1" applyAlignment="1">
      <alignment horizontal="center"/>
    </xf>
    <xf numFmtId="4" fontId="28" fillId="3" borderId="14" xfId="0" applyNumberFormat="1" applyFont="1" applyFill="1" applyBorder="1" applyAlignment="1">
      <alignment horizontal="center"/>
    </xf>
    <xf numFmtId="4" fontId="28" fillId="4" borderId="35" xfId="0" applyNumberFormat="1" applyFont="1" applyFill="1" applyBorder="1" applyAlignment="1">
      <alignment horizontal="center"/>
    </xf>
    <xf numFmtId="4" fontId="28" fillId="4" borderId="36" xfId="0" applyNumberFormat="1" applyFont="1" applyFill="1" applyBorder="1" applyAlignment="1">
      <alignment horizontal="center"/>
    </xf>
    <xf numFmtId="4" fontId="19" fillId="2" borderId="58" xfId="0" applyNumberFormat="1" applyFont="1" applyFill="1" applyBorder="1" applyAlignment="1">
      <alignment horizontal="center"/>
    </xf>
    <xf numFmtId="4" fontId="19" fillId="2" borderId="28" xfId="0" applyNumberFormat="1" applyFont="1" applyFill="1" applyBorder="1" applyAlignment="1">
      <alignment horizontal="center"/>
    </xf>
    <xf numFmtId="4" fontId="19" fillId="2" borderId="27" xfId="0" applyNumberFormat="1" applyFont="1" applyFill="1" applyBorder="1" applyAlignment="1">
      <alignment horizontal="center"/>
    </xf>
    <xf numFmtId="4" fontId="19" fillId="2" borderId="21" xfId="0" applyNumberFormat="1" applyFont="1" applyFill="1" applyBorder="1" applyAlignment="1">
      <alignment horizontal="center"/>
    </xf>
    <xf numFmtId="1" fontId="9" fillId="3" borderId="35" xfId="0" applyNumberFormat="1" applyFont="1" applyFill="1" applyBorder="1" applyAlignment="1">
      <alignment horizontal="center" vertical="center"/>
    </xf>
    <xf numFmtId="1" fontId="9" fillId="3" borderId="36" xfId="0" applyNumberFormat="1" applyFont="1" applyFill="1" applyBorder="1" applyAlignment="1">
      <alignment horizontal="center" vertical="center"/>
    </xf>
    <xf numFmtId="4" fontId="10" fillId="3" borderId="20" xfId="0" applyNumberFormat="1" applyFont="1" applyFill="1" applyBorder="1" applyAlignment="1">
      <alignment horizontal="center" vertical="center"/>
    </xf>
    <xf numFmtId="4" fontId="8" fillId="2" borderId="41" xfId="0" applyNumberFormat="1" applyFont="1" applyFill="1" applyBorder="1" applyAlignment="1">
      <alignment horizontal="center" vertical="center"/>
    </xf>
    <xf numFmtId="4" fontId="8" fillId="2" borderId="16" xfId="0" applyNumberFormat="1" applyFont="1" applyFill="1" applyBorder="1" applyAlignment="1">
      <alignment horizontal="center" vertical="center"/>
    </xf>
    <xf numFmtId="4" fontId="4" fillId="2" borderId="40" xfId="0" applyNumberFormat="1" applyFont="1" applyFill="1" applyBorder="1" applyAlignment="1">
      <alignment horizontal="center"/>
    </xf>
    <xf numFmtId="4" fontId="4" fillId="2" borderId="28" xfId="0" applyNumberFormat="1" applyFont="1" applyFill="1" applyBorder="1" applyAlignment="1">
      <alignment horizontal="center"/>
    </xf>
    <xf numFmtId="4" fontId="4" fillId="2" borderId="39" xfId="0" applyNumberFormat="1" applyFont="1" applyFill="1" applyBorder="1" applyAlignment="1">
      <alignment horizontal="center" vertical="center"/>
    </xf>
    <xf numFmtId="4" fontId="4" fillId="2" borderId="10" xfId="0" applyNumberFormat="1" applyFont="1" applyFill="1" applyBorder="1" applyAlignment="1">
      <alignment horizontal="center" vertical="center"/>
    </xf>
    <xf numFmtId="4" fontId="4" fillId="2" borderId="21" xfId="0" applyNumberFormat="1" applyFont="1" applyFill="1" applyBorder="1" applyAlignment="1">
      <alignment horizontal="center"/>
    </xf>
    <xf numFmtId="4" fontId="5" fillId="0" borderId="6" xfId="0" applyNumberFormat="1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4" fontId="4" fillId="2" borderId="22" xfId="0" applyNumberFormat="1" applyFont="1" applyFill="1" applyBorder="1" applyAlignment="1">
      <alignment horizontal="center" vertical="center"/>
    </xf>
    <xf numFmtId="4" fontId="4" fillId="2" borderId="18" xfId="0" applyNumberFormat="1" applyFont="1" applyFill="1" applyBorder="1" applyAlignment="1">
      <alignment horizontal="center" vertical="center"/>
    </xf>
    <xf numFmtId="4" fontId="8" fillId="2" borderId="32" xfId="0" applyNumberFormat="1" applyFont="1" applyFill="1" applyBorder="1" applyAlignment="1">
      <alignment horizontal="center" vertical="center"/>
    </xf>
    <xf numFmtId="4" fontId="8" fillId="2" borderId="33" xfId="0" applyNumberFormat="1" applyFont="1" applyFill="1" applyBorder="1" applyAlignment="1">
      <alignment horizontal="center" vertical="center"/>
    </xf>
    <xf numFmtId="4" fontId="4" fillId="2" borderId="8" xfId="0" applyNumberFormat="1" applyFont="1" applyFill="1" applyBorder="1" applyAlignment="1">
      <alignment horizontal="center"/>
    </xf>
    <xf numFmtId="4" fontId="4" fillId="2" borderId="9" xfId="0" applyNumberFormat="1" applyFont="1" applyFill="1" applyBorder="1" applyAlignment="1">
      <alignment horizontal="center"/>
    </xf>
    <xf numFmtId="1" fontId="9" fillId="4" borderId="35" xfId="0" applyNumberFormat="1" applyFont="1" applyFill="1" applyBorder="1" applyAlignment="1">
      <alignment horizontal="center" vertical="center"/>
    </xf>
    <xf numFmtId="1" fontId="9" fillId="4" borderId="36" xfId="0" applyNumberFormat="1" applyFont="1" applyFill="1" applyBorder="1" applyAlignment="1">
      <alignment horizontal="center" vertical="center"/>
    </xf>
    <xf numFmtId="4" fontId="10" fillId="4" borderId="19" xfId="0" applyNumberFormat="1" applyFont="1" applyFill="1" applyBorder="1" applyAlignment="1">
      <alignment horizontal="center"/>
    </xf>
    <xf numFmtId="4" fontId="4" fillId="2" borderId="26" xfId="0" applyNumberFormat="1" applyFont="1" applyFill="1" applyBorder="1" applyAlignment="1">
      <alignment horizontal="center" vertical="center"/>
    </xf>
    <xf numFmtId="4" fontId="8" fillId="2" borderId="34" xfId="0" applyNumberFormat="1" applyFont="1" applyFill="1" applyBorder="1" applyAlignment="1">
      <alignment horizontal="center" vertical="center"/>
    </xf>
    <xf numFmtId="4" fontId="5" fillId="2" borderId="25" xfId="0" applyNumberFormat="1" applyFont="1" applyFill="1" applyBorder="1" applyAlignment="1">
      <alignment horizontal="center"/>
    </xf>
    <xf numFmtId="4" fontId="5" fillId="2" borderId="10" xfId="0" applyNumberFormat="1" applyFont="1" applyFill="1" applyBorder="1" applyAlignment="1">
      <alignment horizontal="center"/>
    </xf>
    <xf numFmtId="4" fontId="5" fillId="2" borderId="28" xfId="0" applyNumberFormat="1" applyFont="1" applyFill="1" applyBorder="1" applyAlignment="1">
      <alignment horizontal="center"/>
    </xf>
    <xf numFmtId="4" fontId="5" fillId="2" borderId="21" xfId="0" applyNumberFormat="1" applyFont="1" applyFill="1" applyBorder="1" applyAlignment="1">
      <alignment horizontal="center"/>
    </xf>
    <xf numFmtId="1" fontId="9" fillId="5" borderId="13" xfId="0" applyNumberFormat="1" applyFont="1" applyFill="1" applyBorder="1" applyAlignment="1">
      <alignment horizontal="center" vertical="center"/>
    </xf>
    <xf numFmtId="1" fontId="9" fillId="5" borderId="14" xfId="0" applyNumberFormat="1" applyFont="1" applyFill="1" applyBorder="1" applyAlignment="1">
      <alignment horizontal="center" vertical="center"/>
    </xf>
    <xf numFmtId="4" fontId="8" fillId="5" borderId="20" xfId="0" applyNumberFormat="1" applyFont="1" applyFill="1" applyBorder="1" applyAlignment="1">
      <alignment horizontal="center"/>
    </xf>
    <xf numFmtId="4" fontId="8" fillId="6" borderId="6" xfId="0" applyNumberFormat="1" applyFont="1" applyFill="1" applyBorder="1" applyAlignment="1">
      <alignment horizontal="center" vertical="center"/>
    </xf>
    <xf numFmtId="4" fontId="8" fillId="6" borderId="2" xfId="0" applyNumberFormat="1" applyFont="1" applyFill="1" applyBorder="1" applyAlignment="1">
      <alignment horizontal="center" vertical="center"/>
    </xf>
    <xf numFmtId="4" fontId="12" fillId="7" borderId="4" xfId="0" applyNumberFormat="1" applyFont="1" applyFill="1" applyBorder="1" applyAlignment="1">
      <alignment horizontal="center"/>
    </xf>
    <xf numFmtId="4" fontId="12" fillId="7" borderId="5" xfId="0" applyNumberFormat="1" applyFont="1" applyFill="1" applyBorder="1" applyAlignment="1">
      <alignment horizontal="center"/>
    </xf>
    <xf numFmtId="4" fontId="12" fillId="7" borderId="3" xfId="0" applyNumberFormat="1" applyFont="1" applyFill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7C80"/>
      <color rgb="FF00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0"/>
  <sheetViews>
    <sheetView view="pageBreakPreview" zoomScale="60" zoomScaleNormal="80" workbookViewId="0">
      <selection activeCell="A27" sqref="A27:R27"/>
    </sheetView>
  </sheetViews>
  <sheetFormatPr defaultRowHeight="15" x14ac:dyDescent="0.25"/>
  <cols>
    <col min="1" max="1" width="5.28515625" customWidth="1"/>
    <col min="2" max="2" width="23.85546875" customWidth="1"/>
    <col min="3" max="3" width="14" customWidth="1"/>
    <col min="4" max="4" width="6.85546875" customWidth="1"/>
    <col min="5" max="5" width="14.42578125" bestFit="1" customWidth="1"/>
    <col min="6" max="6" width="11.7109375" customWidth="1"/>
    <col min="7" max="7" width="18.28515625" bestFit="1" customWidth="1"/>
    <col min="8" max="8" width="16.85546875" bestFit="1" customWidth="1"/>
    <col min="9" max="9" width="18.28515625" bestFit="1" customWidth="1"/>
    <col min="10" max="10" width="6.7109375" customWidth="1"/>
    <col min="11" max="11" width="18.28515625" bestFit="1" customWidth="1"/>
    <col min="12" max="12" width="16.5703125" customWidth="1"/>
    <col min="13" max="13" width="14.85546875" customWidth="1"/>
    <col min="14" max="14" width="12.42578125" style="88" customWidth="1"/>
    <col min="15" max="15" width="17.28515625" style="88" bestFit="1" customWidth="1"/>
    <col min="16" max="16" width="18.28515625" bestFit="1" customWidth="1"/>
    <col min="17" max="17" width="16.140625" customWidth="1"/>
    <col min="18" max="18" width="18.28515625" bestFit="1" customWidth="1"/>
    <col min="19" max="19" width="15.85546875" style="58" customWidth="1"/>
    <col min="20" max="20" width="13.42578125" style="58" customWidth="1"/>
    <col min="21" max="21" width="15.5703125" customWidth="1"/>
    <col min="22" max="22" width="17.140625" customWidth="1"/>
    <col min="23" max="23" width="17.5703125" customWidth="1"/>
    <col min="24" max="24" width="8.5703125" customWidth="1"/>
  </cols>
  <sheetData>
    <row r="1" spans="1:31" ht="19.5" thickBot="1" x14ac:dyDescent="0.35">
      <c r="A1" s="385" t="s">
        <v>14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87"/>
      <c r="R1" s="87"/>
      <c r="S1" s="52"/>
      <c r="T1" s="52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</row>
    <row r="2" spans="1:31" s="102" customFormat="1" ht="24.95" customHeight="1" thickBot="1" x14ac:dyDescent="0.25">
      <c r="A2" s="89" t="s">
        <v>0</v>
      </c>
      <c r="B2" s="90" t="s">
        <v>1</v>
      </c>
      <c r="C2" s="90" t="s">
        <v>2</v>
      </c>
      <c r="D2" s="91" t="s">
        <v>3</v>
      </c>
      <c r="E2" s="92" t="s">
        <v>4</v>
      </c>
      <c r="F2" s="90" t="s">
        <v>5</v>
      </c>
      <c r="G2" s="90" t="s">
        <v>48</v>
      </c>
      <c r="H2" s="90" t="s">
        <v>7</v>
      </c>
      <c r="I2" s="90" t="s">
        <v>49</v>
      </c>
      <c r="J2" s="93" t="s">
        <v>9</v>
      </c>
      <c r="K2" s="94" t="s">
        <v>10</v>
      </c>
      <c r="L2" s="396" t="s">
        <v>50</v>
      </c>
      <c r="M2" s="397"/>
      <c r="N2" s="95" t="s">
        <v>7</v>
      </c>
      <c r="O2" s="96" t="s">
        <v>49</v>
      </c>
      <c r="P2" s="97" t="s">
        <v>51</v>
      </c>
      <c r="Q2" s="90" t="s">
        <v>7</v>
      </c>
      <c r="R2" s="96" t="s">
        <v>49</v>
      </c>
      <c r="S2" s="98" t="s">
        <v>61</v>
      </c>
      <c r="T2" s="98"/>
      <c r="U2" s="99">
        <v>2022</v>
      </c>
      <c r="V2" s="100" t="s">
        <v>47</v>
      </c>
      <c r="W2" s="101" t="s">
        <v>17</v>
      </c>
      <c r="Y2" s="101"/>
      <c r="Z2" s="101"/>
    </row>
    <row r="3" spans="1:31" s="102" customFormat="1" ht="24.95" customHeight="1" x14ac:dyDescent="0.2">
      <c r="A3" s="103">
        <v>1</v>
      </c>
      <c r="B3" s="104" t="s">
        <v>27</v>
      </c>
      <c r="C3" s="27">
        <v>61</v>
      </c>
      <c r="D3" s="27">
        <v>56</v>
      </c>
      <c r="E3" s="105">
        <f t="shared" ref="E3:E4" si="0">C3*D3</f>
        <v>3416</v>
      </c>
      <c r="F3" s="107">
        <v>45</v>
      </c>
      <c r="G3" s="108">
        <f t="shared" ref="G3:G6" si="1">E3*F3</f>
        <v>153720</v>
      </c>
      <c r="H3" s="108">
        <f t="shared" ref="H3:H19" si="2">G3*0.08</f>
        <v>12297.6</v>
      </c>
      <c r="I3" s="109">
        <f t="shared" ref="I3:I19" si="3">G3+H3</f>
        <v>166017.60000000001</v>
      </c>
      <c r="J3" s="408" t="s">
        <v>26</v>
      </c>
      <c r="K3" s="398">
        <f>L5+P5</f>
        <v>4206420</v>
      </c>
      <c r="L3" s="415">
        <f>G3</f>
        <v>153720</v>
      </c>
      <c r="M3" s="416"/>
      <c r="N3" s="308">
        <f>L3*0.08</f>
        <v>12297.6</v>
      </c>
      <c r="O3" s="110"/>
      <c r="P3" s="111"/>
      <c r="Q3" s="118"/>
      <c r="R3" s="119"/>
      <c r="S3" s="114"/>
      <c r="T3" s="114"/>
      <c r="U3" s="115"/>
      <c r="V3" s="116"/>
      <c r="W3" s="117"/>
    </row>
    <row r="4" spans="1:31" s="102" customFormat="1" ht="24.95" customHeight="1" x14ac:dyDescent="0.2">
      <c r="A4" s="103">
        <v>2</v>
      </c>
      <c r="B4" s="281" t="s">
        <v>33</v>
      </c>
      <c r="C4" s="27">
        <v>395</v>
      </c>
      <c r="D4" s="106">
        <v>228</v>
      </c>
      <c r="E4" s="105">
        <f t="shared" si="0"/>
        <v>90060</v>
      </c>
      <c r="F4" s="107">
        <v>45</v>
      </c>
      <c r="G4" s="108">
        <f t="shared" si="1"/>
        <v>4052700</v>
      </c>
      <c r="H4" s="108">
        <f t="shared" si="2"/>
        <v>324216</v>
      </c>
      <c r="I4" s="109">
        <f t="shared" si="3"/>
        <v>4376916</v>
      </c>
      <c r="J4" s="405"/>
      <c r="K4" s="398"/>
      <c r="L4" s="417">
        <f>(123*228)*45</f>
        <v>1261980</v>
      </c>
      <c r="M4" s="418"/>
      <c r="N4" s="309">
        <f>L4*0.08</f>
        <v>100958.40000000001</v>
      </c>
      <c r="O4" s="120"/>
      <c r="P4" s="111">
        <f>(272*228)*45</f>
        <v>2790720</v>
      </c>
      <c r="Q4" s="118"/>
      <c r="R4" s="119"/>
      <c r="S4" s="114"/>
      <c r="T4" s="114"/>
      <c r="U4" s="115"/>
      <c r="V4" s="116"/>
      <c r="W4" s="117"/>
    </row>
    <row r="5" spans="1:31" s="102" customFormat="1" ht="24.95" customHeight="1" thickBot="1" x14ac:dyDescent="0.25">
      <c r="A5" s="409" t="s">
        <v>11</v>
      </c>
      <c r="B5" s="410"/>
      <c r="C5" s="121">
        <f>SUM(C3:C4)</f>
        <v>456</v>
      </c>
      <c r="D5" s="122"/>
      <c r="E5" s="123">
        <f>E3+E4</f>
        <v>93476</v>
      </c>
      <c r="F5" s="124">
        <v>45</v>
      </c>
      <c r="G5" s="125">
        <f>SUM(G3:G4)</f>
        <v>4206420</v>
      </c>
      <c r="H5" s="125">
        <f>SUM(H3:H4)</f>
        <v>336513.6</v>
      </c>
      <c r="I5" s="125">
        <f>SUM(I3:I4)</f>
        <v>4542933.5999999996</v>
      </c>
      <c r="J5" s="126"/>
      <c r="K5" s="399"/>
      <c r="L5" s="411">
        <f>SUM(L3:L4)</f>
        <v>1415700</v>
      </c>
      <c r="M5" s="412"/>
      <c r="N5" s="307">
        <f>L5*0.08</f>
        <v>113256</v>
      </c>
      <c r="O5" s="127">
        <f>L5+N5</f>
        <v>1528956</v>
      </c>
      <c r="P5" s="128">
        <f>P4</f>
        <v>2790720</v>
      </c>
      <c r="Q5" s="129">
        <f>P5*0.08</f>
        <v>223257.60000000001</v>
      </c>
      <c r="R5" s="130">
        <f>P5+Q5</f>
        <v>3013977.6</v>
      </c>
      <c r="S5" s="131">
        <f>N5+Q5</f>
        <v>336513.6</v>
      </c>
      <c r="T5" s="131">
        <f>H5-S5</f>
        <v>0</v>
      </c>
      <c r="U5" s="132"/>
      <c r="V5" s="133"/>
      <c r="W5" s="134"/>
      <c r="X5" s="135"/>
      <c r="Y5" s="135"/>
      <c r="Z5" s="135"/>
      <c r="AA5" s="135"/>
    </row>
    <row r="6" spans="1:31" s="256" customFormat="1" ht="24.95" customHeight="1" x14ac:dyDescent="0.25">
      <c r="A6" s="136">
        <v>1</v>
      </c>
      <c r="B6" s="295" t="s">
        <v>28</v>
      </c>
      <c r="C6" s="138">
        <v>487</v>
      </c>
      <c r="D6" s="296">
        <v>62</v>
      </c>
      <c r="E6" s="138">
        <f>C6*D6</f>
        <v>30194</v>
      </c>
      <c r="F6" s="139">
        <v>45</v>
      </c>
      <c r="G6" s="139">
        <f t="shared" si="1"/>
        <v>1358730</v>
      </c>
      <c r="H6" s="139">
        <f t="shared" si="2"/>
        <v>108698.40000000001</v>
      </c>
      <c r="I6" s="140">
        <f t="shared" si="3"/>
        <v>1467428.4</v>
      </c>
      <c r="J6" s="400" t="s">
        <v>29</v>
      </c>
      <c r="K6" s="402">
        <f>L7+P7</f>
        <v>1358730</v>
      </c>
      <c r="L6" s="403">
        <f>(123*66)*45</f>
        <v>365310</v>
      </c>
      <c r="M6" s="404"/>
      <c r="N6" s="297"/>
      <c r="O6" s="298"/>
      <c r="P6" s="299">
        <f>G6-L6</f>
        <v>993420</v>
      </c>
      <c r="Q6" s="300"/>
      <c r="R6" s="301"/>
      <c r="S6" s="302"/>
      <c r="T6" s="302"/>
      <c r="U6" s="303"/>
      <c r="V6" s="304"/>
    </row>
    <row r="7" spans="1:31" s="102" customFormat="1" ht="24.95" customHeight="1" thickBot="1" x14ac:dyDescent="0.25">
      <c r="A7" s="406" t="s">
        <v>12</v>
      </c>
      <c r="B7" s="407"/>
      <c r="C7" s="142">
        <f>C6</f>
        <v>487</v>
      </c>
      <c r="D7" s="143">
        <v>62</v>
      </c>
      <c r="E7" s="144">
        <f>E6</f>
        <v>30194</v>
      </c>
      <c r="F7" s="145">
        <v>45</v>
      </c>
      <c r="G7" s="146">
        <f t="shared" ref="G7:G19" si="4">E7*F7</f>
        <v>1358730</v>
      </c>
      <c r="H7" s="146">
        <f t="shared" si="2"/>
        <v>108698.40000000001</v>
      </c>
      <c r="I7" s="146">
        <f t="shared" si="3"/>
        <v>1467428.4</v>
      </c>
      <c r="J7" s="401"/>
      <c r="K7" s="399"/>
      <c r="L7" s="413">
        <f>L6</f>
        <v>365310</v>
      </c>
      <c r="M7" s="414"/>
      <c r="N7" s="147">
        <f>L7*0.08</f>
        <v>29224.799999999999</v>
      </c>
      <c r="O7" s="148">
        <f>L7+N7</f>
        <v>394534.8</v>
      </c>
      <c r="P7" s="149">
        <f>P6</f>
        <v>993420</v>
      </c>
      <c r="Q7" s="150">
        <f>P7*0.08</f>
        <v>79473.600000000006</v>
      </c>
      <c r="R7" s="151">
        <f>P7+Q7</f>
        <v>1072893.6000000001</v>
      </c>
      <c r="S7" s="131">
        <f>N7+Q7</f>
        <v>108698.40000000001</v>
      </c>
      <c r="T7" s="131">
        <f>H7-S7</f>
        <v>0</v>
      </c>
      <c r="U7" s="99"/>
      <c r="V7" s="141"/>
      <c r="W7" s="152">
        <f>S7+V7</f>
        <v>108698.40000000001</v>
      </c>
    </row>
    <row r="8" spans="1:31" s="102" customFormat="1" ht="24.95" customHeight="1" x14ac:dyDescent="0.25">
      <c r="A8" s="153">
        <v>1</v>
      </c>
      <c r="B8" s="137" t="s">
        <v>30</v>
      </c>
      <c r="C8" s="154">
        <v>16</v>
      </c>
      <c r="D8" s="155">
        <v>36</v>
      </c>
      <c r="E8" s="154">
        <f>C8*D8</f>
        <v>576</v>
      </c>
      <c r="F8" s="107">
        <v>45</v>
      </c>
      <c r="G8" s="107">
        <f t="shared" si="4"/>
        <v>25920</v>
      </c>
      <c r="H8" s="107">
        <f t="shared" si="2"/>
        <v>2073.6</v>
      </c>
      <c r="I8" s="156">
        <f t="shared" si="3"/>
        <v>27993.599999999999</v>
      </c>
      <c r="J8" s="400" t="s">
        <v>31</v>
      </c>
      <c r="K8" s="402">
        <f>L10+P10</f>
        <v>1641600</v>
      </c>
      <c r="L8" s="394">
        <f>G8</f>
        <v>25920</v>
      </c>
      <c r="M8" s="395"/>
      <c r="N8" s="157"/>
      <c r="O8" s="158"/>
      <c r="P8" s="159"/>
      <c r="Q8" s="112"/>
      <c r="R8" s="113"/>
      <c r="S8" s="114"/>
      <c r="T8" s="114"/>
      <c r="U8" s="99"/>
      <c r="V8" s="116"/>
    </row>
    <row r="9" spans="1:31" s="102" customFormat="1" ht="24.95" customHeight="1" x14ac:dyDescent="0.25">
      <c r="A9" s="160">
        <f t="shared" ref="A9" si="5">A8+1</f>
        <v>2</v>
      </c>
      <c r="B9" s="161" t="s">
        <v>32</v>
      </c>
      <c r="C9" s="105">
        <v>374</v>
      </c>
      <c r="D9" s="310">
        <v>96</v>
      </c>
      <c r="E9" s="105">
        <f>C9*D9</f>
        <v>35904</v>
      </c>
      <c r="F9" s="107">
        <v>45</v>
      </c>
      <c r="G9" s="108">
        <f t="shared" si="4"/>
        <v>1615680</v>
      </c>
      <c r="H9" s="108">
        <f t="shared" si="2"/>
        <v>129254.40000000001</v>
      </c>
      <c r="I9" s="109">
        <f t="shared" si="3"/>
        <v>1744934.4</v>
      </c>
      <c r="J9" s="405"/>
      <c r="K9" s="398"/>
      <c r="L9" s="392">
        <f>(92*96)*45</f>
        <v>397440</v>
      </c>
      <c r="M9" s="393"/>
      <c r="N9" s="157"/>
      <c r="O9" s="158"/>
      <c r="P9" s="159">
        <f>(282*96)*45</f>
        <v>1218240</v>
      </c>
      <c r="Q9" s="118"/>
      <c r="R9" s="119"/>
      <c r="S9" s="114"/>
      <c r="T9" s="114"/>
      <c r="U9" s="99"/>
      <c r="V9" s="141"/>
    </row>
    <row r="10" spans="1:31" s="102" customFormat="1" ht="24.95" customHeight="1" thickBot="1" x14ac:dyDescent="0.3">
      <c r="A10" s="390" t="s">
        <v>13</v>
      </c>
      <c r="B10" s="391"/>
      <c r="C10" s="162">
        <f>SUM(C8:C9)</f>
        <v>390</v>
      </c>
      <c r="D10" s="163"/>
      <c r="E10" s="164">
        <f>SUM(E8:E9)</f>
        <v>36480</v>
      </c>
      <c r="F10" s="165">
        <v>45</v>
      </c>
      <c r="G10" s="166">
        <f>SUM(G8:G9)</f>
        <v>1641600</v>
      </c>
      <c r="H10" s="166">
        <f t="shared" si="2"/>
        <v>131328</v>
      </c>
      <c r="I10" s="166">
        <f t="shared" si="3"/>
        <v>1772928</v>
      </c>
      <c r="J10" s="126"/>
      <c r="K10" s="167"/>
      <c r="L10" s="388">
        <f>SUM(L8:L9)</f>
        <v>423360</v>
      </c>
      <c r="M10" s="389"/>
      <c r="N10" s="168">
        <f>L10*0.08</f>
        <v>33868.800000000003</v>
      </c>
      <c r="O10" s="169">
        <f>L10+N10</f>
        <v>457228.79999999999</v>
      </c>
      <c r="P10" s="170">
        <f>SUM(P8:P9)</f>
        <v>1218240</v>
      </c>
      <c r="Q10" s="171">
        <f>P10*0.08</f>
        <v>97459.199999999997</v>
      </c>
      <c r="R10" s="172">
        <f>P10+Q10</f>
        <v>1315699.2</v>
      </c>
      <c r="S10" s="173">
        <f>N10+Q10</f>
        <v>131328</v>
      </c>
      <c r="T10" s="131">
        <f>H10-S10</f>
        <v>0</v>
      </c>
      <c r="U10" s="99"/>
      <c r="V10" s="141"/>
    </row>
    <row r="11" spans="1:31" s="181" customFormat="1" ht="24.95" customHeight="1" x14ac:dyDescent="0.2">
      <c r="A11" s="153">
        <v>1</v>
      </c>
      <c r="B11" s="174" t="s">
        <v>34</v>
      </c>
      <c r="C11" s="154">
        <v>373</v>
      </c>
      <c r="D11" s="175">
        <v>59</v>
      </c>
      <c r="E11" s="154">
        <f>C11*D11</f>
        <v>22007</v>
      </c>
      <c r="F11" s="156">
        <v>45</v>
      </c>
      <c r="G11" s="108">
        <f t="shared" si="4"/>
        <v>990315</v>
      </c>
      <c r="H11" s="108">
        <f t="shared" si="2"/>
        <v>79225.2</v>
      </c>
      <c r="I11" s="109">
        <f t="shared" si="3"/>
        <v>1069540.2</v>
      </c>
      <c r="J11" s="279" t="s">
        <v>35</v>
      </c>
      <c r="K11" s="176">
        <f>L12+P12</f>
        <v>990315</v>
      </c>
      <c r="L11" s="358">
        <v>488520</v>
      </c>
      <c r="M11" s="359"/>
      <c r="N11" s="177"/>
      <c r="O11" s="178"/>
      <c r="P11" s="159">
        <v>501795</v>
      </c>
      <c r="Q11" s="112"/>
      <c r="R11" s="113"/>
      <c r="S11" s="114"/>
      <c r="T11" s="114"/>
      <c r="U11" s="179">
        <f>DATEDIF("01.07.2022","01.01.2023","d")</f>
        <v>184</v>
      </c>
      <c r="V11" s="180">
        <f>DATEDIF("01.01.2023","09.07.2023","d")</f>
        <v>189</v>
      </c>
    </row>
    <row r="12" spans="1:31" s="194" customFormat="1" ht="24.95" customHeight="1" thickBot="1" x14ac:dyDescent="0.3">
      <c r="A12" s="375" t="s">
        <v>42</v>
      </c>
      <c r="B12" s="376"/>
      <c r="C12" s="182">
        <f>C11</f>
        <v>373</v>
      </c>
      <c r="D12" s="183">
        <f>D11</f>
        <v>59</v>
      </c>
      <c r="E12" s="182">
        <f>E11</f>
        <v>22007</v>
      </c>
      <c r="F12" s="184">
        <f>F11</f>
        <v>45</v>
      </c>
      <c r="G12" s="184">
        <f>G11</f>
        <v>990315</v>
      </c>
      <c r="H12" s="184">
        <f t="shared" si="2"/>
        <v>79225.2</v>
      </c>
      <c r="I12" s="184">
        <f t="shared" si="3"/>
        <v>1069540.2</v>
      </c>
      <c r="J12" s="312"/>
      <c r="K12" s="185">
        <f>K11</f>
        <v>990315</v>
      </c>
      <c r="L12" s="365">
        <f>L11</f>
        <v>488520</v>
      </c>
      <c r="M12" s="366"/>
      <c r="N12" s="186">
        <f>L12*0.08</f>
        <v>39081.599999999999</v>
      </c>
      <c r="O12" s="187">
        <f>L12+N12</f>
        <v>527601.6</v>
      </c>
      <c r="P12" s="188">
        <f>P11</f>
        <v>501795</v>
      </c>
      <c r="Q12" s="189">
        <f>P12*0.08</f>
        <v>40143.599999999999</v>
      </c>
      <c r="R12" s="190">
        <f>P12+Q12</f>
        <v>541938.6</v>
      </c>
      <c r="S12" s="173">
        <f>N12+Q12</f>
        <v>79225.2</v>
      </c>
      <c r="T12" s="131">
        <f>H12-S12</f>
        <v>0</v>
      </c>
      <c r="U12" s="191">
        <f>(184*59)*45</f>
        <v>488520</v>
      </c>
      <c r="V12" s="192">
        <f>(189*59)*45</f>
        <v>501795</v>
      </c>
      <c r="W12" s="193">
        <f>U12+V12</f>
        <v>990315</v>
      </c>
    </row>
    <row r="13" spans="1:31" s="181" customFormat="1" ht="24.95" customHeight="1" x14ac:dyDescent="0.2">
      <c r="A13" s="153">
        <v>1</v>
      </c>
      <c r="B13" s="174" t="s">
        <v>37</v>
      </c>
      <c r="C13" s="154">
        <v>456</v>
      </c>
      <c r="D13" s="175">
        <v>169</v>
      </c>
      <c r="E13" s="154">
        <f>C13*D13</f>
        <v>77064</v>
      </c>
      <c r="F13" s="156">
        <v>45</v>
      </c>
      <c r="G13" s="108">
        <f t="shared" si="4"/>
        <v>3467880</v>
      </c>
      <c r="H13" s="108">
        <f t="shared" si="2"/>
        <v>277430.40000000002</v>
      </c>
      <c r="I13" s="109">
        <f t="shared" si="3"/>
        <v>3745310.4</v>
      </c>
      <c r="J13" s="279" t="s">
        <v>36</v>
      </c>
      <c r="K13" s="195">
        <f>L14+P14</f>
        <v>3467880</v>
      </c>
      <c r="L13" s="358">
        <f>U14</f>
        <v>1399320</v>
      </c>
      <c r="M13" s="359"/>
      <c r="N13" s="177"/>
      <c r="O13" s="178"/>
      <c r="P13" s="159">
        <f>V14</f>
        <v>2068560</v>
      </c>
      <c r="Q13" s="112"/>
      <c r="R13" s="113"/>
      <c r="S13" s="114"/>
      <c r="T13" s="114"/>
      <c r="U13" s="179">
        <f>DATEDIF("01.07.2022","01.01.2023","d")</f>
        <v>184</v>
      </c>
      <c r="V13" s="180">
        <f>DATEDIF("01.01.2023","30.09.2023","d")</f>
        <v>272</v>
      </c>
      <c r="W13" s="196">
        <f>U13+V13</f>
        <v>456</v>
      </c>
    </row>
    <row r="14" spans="1:31" s="207" customFormat="1" ht="24.95" customHeight="1" thickBot="1" x14ac:dyDescent="0.3">
      <c r="A14" s="377" t="s">
        <v>43</v>
      </c>
      <c r="B14" s="378"/>
      <c r="C14" s="197">
        <f t="shared" ref="C14:H14" si="6">C13</f>
        <v>456</v>
      </c>
      <c r="D14" s="198">
        <f t="shared" si="6"/>
        <v>169</v>
      </c>
      <c r="E14" s="197">
        <f t="shared" si="6"/>
        <v>77064</v>
      </c>
      <c r="F14" s="199">
        <f t="shared" si="6"/>
        <v>45</v>
      </c>
      <c r="G14" s="199">
        <f t="shared" si="6"/>
        <v>3467880</v>
      </c>
      <c r="H14" s="199">
        <f t="shared" si="6"/>
        <v>277430.40000000002</v>
      </c>
      <c r="I14" s="199">
        <f t="shared" si="3"/>
        <v>3745310.4</v>
      </c>
      <c r="J14" s="312"/>
      <c r="K14" s="200">
        <f>K13</f>
        <v>3467880</v>
      </c>
      <c r="L14" s="367">
        <f>L13</f>
        <v>1399320</v>
      </c>
      <c r="M14" s="368"/>
      <c r="N14" s="201">
        <f>L14*0.08</f>
        <v>111945.60000000001</v>
      </c>
      <c r="O14" s="202">
        <f>L14+N14</f>
        <v>1511265.6</v>
      </c>
      <c r="P14" s="203">
        <f>P13</f>
        <v>2068560</v>
      </c>
      <c r="Q14" s="204">
        <f>P14*0.08</f>
        <v>165484.80000000002</v>
      </c>
      <c r="R14" s="205">
        <f>P14+Q14</f>
        <v>2234044.7999999998</v>
      </c>
      <c r="S14" s="173">
        <f>N14+Q14</f>
        <v>277430.40000000002</v>
      </c>
      <c r="T14" s="131">
        <f>H14-S14</f>
        <v>0</v>
      </c>
      <c r="U14" s="191">
        <f>(184*169)*45</f>
        <v>1399320</v>
      </c>
      <c r="V14" s="192">
        <f>(272*169)*45</f>
        <v>2068560</v>
      </c>
      <c r="W14" s="206">
        <f>U14+V14</f>
        <v>3467880</v>
      </c>
    </row>
    <row r="15" spans="1:31" s="181" customFormat="1" ht="24.95" customHeight="1" x14ac:dyDescent="0.2">
      <c r="A15" s="153">
        <v>1</v>
      </c>
      <c r="B15" s="174" t="s">
        <v>40</v>
      </c>
      <c r="C15" s="154">
        <v>394</v>
      </c>
      <c r="D15" s="311">
        <v>108</v>
      </c>
      <c r="E15" s="154">
        <f>C15*D15</f>
        <v>42552</v>
      </c>
      <c r="F15" s="156">
        <v>45</v>
      </c>
      <c r="G15" s="109">
        <f t="shared" si="4"/>
        <v>1914840</v>
      </c>
      <c r="H15" s="109">
        <f t="shared" si="2"/>
        <v>153187.20000000001</v>
      </c>
      <c r="I15" s="109">
        <f t="shared" si="3"/>
        <v>2068027.2</v>
      </c>
      <c r="J15" s="306" t="s">
        <v>38</v>
      </c>
      <c r="K15" s="195">
        <f>L16+P16</f>
        <v>1914840</v>
      </c>
      <c r="L15" s="358">
        <f>U16</f>
        <v>592920</v>
      </c>
      <c r="M15" s="359"/>
      <c r="N15" s="112"/>
      <c r="O15" s="305"/>
      <c r="P15" s="159">
        <f>V16</f>
        <v>1321920</v>
      </c>
      <c r="Q15" s="112"/>
      <c r="R15" s="113"/>
      <c r="S15" s="98"/>
      <c r="T15" s="98"/>
      <c r="U15" s="179">
        <f>DATEDIF("01.09.2022","01.01.2023","d")</f>
        <v>122</v>
      </c>
      <c r="V15" s="180">
        <f>DATEDIF("01.01.2023","30.09.2023","d")</f>
        <v>272</v>
      </c>
      <c r="W15" s="196">
        <f>U15+V15</f>
        <v>394</v>
      </c>
    </row>
    <row r="16" spans="1:31" s="207" customFormat="1" ht="24.95" customHeight="1" thickBot="1" x14ac:dyDescent="0.3">
      <c r="A16" s="379" t="s">
        <v>44</v>
      </c>
      <c r="B16" s="380"/>
      <c r="C16" s="208">
        <f t="shared" ref="C16:H16" si="7">C15</f>
        <v>394</v>
      </c>
      <c r="D16" s="209">
        <f t="shared" si="7"/>
        <v>108</v>
      </c>
      <c r="E16" s="208">
        <f t="shared" si="7"/>
        <v>42552</v>
      </c>
      <c r="F16" s="210">
        <f t="shared" si="7"/>
        <v>45</v>
      </c>
      <c r="G16" s="210">
        <f t="shared" si="7"/>
        <v>1914840</v>
      </c>
      <c r="H16" s="210">
        <f t="shared" si="7"/>
        <v>153187.20000000001</v>
      </c>
      <c r="I16" s="210">
        <f t="shared" si="3"/>
        <v>2068027.2</v>
      </c>
      <c r="J16" s="312"/>
      <c r="K16" s="211">
        <f>K15</f>
        <v>1914840</v>
      </c>
      <c r="L16" s="369">
        <f>L15</f>
        <v>592920</v>
      </c>
      <c r="M16" s="370"/>
      <c r="N16" s="212">
        <f>L16*0.08</f>
        <v>47433.599999999999</v>
      </c>
      <c r="O16" s="213">
        <f>L16+N16</f>
        <v>640353.6</v>
      </c>
      <c r="P16" s="214">
        <f>V16</f>
        <v>1321920</v>
      </c>
      <c r="Q16" s="215">
        <f>P16*0.08</f>
        <v>105753.60000000001</v>
      </c>
      <c r="R16" s="216">
        <f>P16+Q16</f>
        <v>1427673.6</v>
      </c>
      <c r="S16" s="173">
        <f>N16+Q16</f>
        <v>153187.20000000001</v>
      </c>
      <c r="T16" s="131">
        <f>H16-S16</f>
        <v>0</v>
      </c>
      <c r="U16" s="191">
        <f>(122*108)*45</f>
        <v>592920</v>
      </c>
      <c r="V16" s="192">
        <f>(272*108)*45</f>
        <v>1321920</v>
      </c>
      <c r="W16" s="206">
        <f>U16+V16</f>
        <v>1914840</v>
      </c>
    </row>
    <row r="17" spans="1:23" s="181" customFormat="1" ht="24.95" customHeight="1" x14ac:dyDescent="0.2">
      <c r="A17" s="153">
        <v>1</v>
      </c>
      <c r="B17" s="174" t="s">
        <v>40</v>
      </c>
      <c r="C17" s="154">
        <v>394</v>
      </c>
      <c r="D17" s="175">
        <v>174</v>
      </c>
      <c r="E17" s="154">
        <f>C17*D17</f>
        <v>68556</v>
      </c>
      <c r="F17" s="156">
        <v>45</v>
      </c>
      <c r="G17" s="109">
        <f t="shared" si="4"/>
        <v>3085020</v>
      </c>
      <c r="H17" s="109">
        <f t="shared" si="2"/>
        <v>246801.6</v>
      </c>
      <c r="I17" s="109">
        <f t="shared" si="3"/>
        <v>3331821.6</v>
      </c>
      <c r="J17" s="279" t="s">
        <v>39</v>
      </c>
      <c r="K17" s="195">
        <f>L18+P18</f>
        <v>3085020</v>
      </c>
      <c r="L17" s="358">
        <f>U18</f>
        <v>955260</v>
      </c>
      <c r="M17" s="359"/>
      <c r="N17" s="112"/>
      <c r="O17" s="305"/>
      <c r="P17" s="159">
        <f>V18</f>
        <v>2129760</v>
      </c>
      <c r="Q17" s="112"/>
      <c r="R17" s="113"/>
      <c r="S17" s="98"/>
      <c r="T17" s="98"/>
      <c r="U17" s="179">
        <f>DATEDIF("01.09.2022","01.01.2023","d")</f>
        <v>122</v>
      </c>
      <c r="V17" s="180">
        <f>DATEDIF("01.01.2023","30.09.2023","d")</f>
        <v>272</v>
      </c>
      <c r="W17" s="196">
        <f>122+272</f>
        <v>394</v>
      </c>
    </row>
    <row r="18" spans="1:23" s="207" customFormat="1" ht="24.95" customHeight="1" thickBot="1" x14ac:dyDescent="0.3">
      <c r="A18" s="381" t="s">
        <v>45</v>
      </c>
      <c r="B18" s="382"/>
      <c r="C18" s="217">
        <f t="shared" ref="C18:I18" si="8">C17</f>
        <v>394</v>
      </c>
      <c r="D18" s="218">
        <f t="shared" si="8"/>
        <v>174</v>
      </c>
      <c r="E18" s="217">
        <f t="shared" si="8"/>
        <v>68556</v>
      </c>
      <c r="F18" s="219">
        <f t="shared" si="8"/>
        <v>45</v>
      </c>
      <c r="G18" s="219">
        <f t="shared" si="8"/>
        <v>3085020</v>
      </c>
      <c r="H18" s="219">
        <f t="shared" si="8"/>
        <v>246801.6</v>
      </c>
      <c r="I18" s="219">
        <f t="shared" si="8"/>
        <v>3331821.6</v>
      </c>
      <c r="J18" s="312"/>
      <c r="K18" s="220">
        <f>K17</f>
        <v>3085020</v>
      </c>
      <c r="L18" s="371">
        <f>U18</f>
        <v>955260</v>
      </c>
      <c r="M18" s="372"/>
      <c r="N18" s="221">
        <f>L18*0.08</f>
        <v>76420.800000000003</v>
      </c>
      <c r="O18" s="222">
        <f>L18+N18</f>
        <v>1031680.8</v>
      </c>
      <c r="P18" s="223">
        <f>V18</f>
        <v>2129760</v>
      </c>
      <c r="Q18" s="224">
        <f>P18*0.08</f>
        <v>170380.80000000002</v>
      </c>
      <c r="R18" s="225">
        <f>P18+Q18</f>
        <v>2300140.7999999998</v>
      </c>
      <c r="S18" s="173">
        <f>N18+Q18</f>
        <v>246801.60000000003</v>
      </c>
      <c r="T18" s="131">
        <f>H18-S18</f>
        <v>0</v>
      </c>
      <c r="U18" s="191">
        <f>(122*174)*45</f>
        <v>955260</v>
      </c>
      <c r="V18" s="192">
        <f>(272*174)*45</f>
        <v>2129760</v>
      </c>
      <c r="W18" s="206">
        <f>U18+V18</f>
        <v>3085020</v>
      </c>
    </row>
    <row r="19" spans="1:23" s="181" customFormat="1" ht="24.95" customHeight="1" x14ac:dyDescent="0.2">
      <c r="A19" s="153">
        <v>1</v>
      </c>
      <c r="B19" s="174" t="s">
        <v>40</v>
      </c>
      <c r="C19" s="154">
        <v>394</v>
      </c>
      <c r="D19" s="175">
        <v>158</v>
      </c>
      <c r="E19" s="154">
        <f>C19*D19</f>
        <v>62252</v>
      </c>
      <c r="F19" s="156">
        <v>45</v>
      </c>
      <c r="G19" s="109">
        <f t="shared" si="4"/>
        <v>2801340</v>
      </c>
      <c r="H19" s="109">
        <f t="shared" si="2"/>
        <v>224107.2</v>
      </c>
      <c r="I19" s="109">
        <f t="shared" si="3"/>
        <v>3025447.2</v>
      </c>
      <c r="J19" s="279" t="s">
        <v>41</v>
      </c>
      <c r="K19" s="195">
        <f>L20+P20</f>
        <v>2801340</v>
      </c>
      <c r="L19" s="358">
        <f>U20</f>
        <v>867420</v>
      </c>
      <c r="M19" s="359"/>
      <c r="N19" s="112"/>
      <c r="O19" s="305"/>
      <c r="P19" s="159">
        <f>V20</f>
        <v>1933920</v>
      </c>
      <c r="Q19" s="112"/>
      <c r="R19" s="113"/>
      <c r="S19" s="98"/>
      <c r="T19" s="98"/>
      <c r="U19" s="179">
        <f>DATEDIF("01.09.2022","01.01.2023","d")</f>
        <v>122</v>
      </c>
      <c r="V19" s="180">
        <f>DATEDIF("01.01.2023","30.09.2023","d")</f>
        <v>272</v>
      </c>
      <c r="W19" s="196">
        <f>U19+V19</f>
        <v>394</v>
      </c>
    </row>
    <row r="20" spans="1:23" s="207" customFormat="1" ht="24.95" customHeight="1" thickBot="1" x14ac:dyDescent="0.3">
      <c r="A20" s="383" t="s">
        <v>46</v>
      </c>
      <c r="B20" s="384"/>
      <c r="C20" s="226">
        <f t="shared" ref="C20:I20" si="9">C19</f>
        <v>394</v>
      </c>
      <c r="D20" s="227">
        <f t="shared" si="9"/>
        <v>158</v>
      </c>
      <c r="E20" s="226">
        <f t="shared" si="9"/>
        <v>62252</v>
      </c>
      <c r="F20" s="228">
        <f t="shared" si="9"/>
        <v>45</v>
      </c>
      <c r="G20" s="228">
        <f t="shared" si="9"/>
        <v>2801340</v>
      </c>
      <c r="H20" s="228">
        <f t="shared" si="9"/>
        <v>224107.2</v>
      </c>
      <c r="I20" s="228">
        <f t="shared" si="9"/>
        <v>3025447.2</v>
      </c>
      <c r="J20" s="229"/>
      <c r="K20" s="230">
        <f>K19</f>
        <v>2801340</v>
      </c>
      <c r="L20" s="373">
        <f>U20</f>
        <v>867420</v>
      </c>
      <c r="M20" s="374"/>
      <c r="N20" s="231">
        <f>L20*0.08</f>
        <v>69393.600000000006</v>
      </c>
      <c r="O20" s="232">
        <f>L20+N20</f>
        <v>936813.6</v>
      </c>
      <c r="P20" s="233">
        <f>V20</f>
        <v>1933920</v>
      </c>
      <c r="Q20" s="234">
        <f>P20*0.08</f>
        <v>154713.60000000001</v>
      </c>
      <c r="R20" s="235">
        <f>P20+Q20</f>
        <v>2088633.6</v>
      </c>
      <c r="S20" s="173">
        <f>N20+Q20</f>
        <v>224107.2</v>
      </c>
      <c r="T20" s="131">
        <f>H20-S20</f>
        <v>0</v>
      </c>
      <c r="U20" s="191">
        <f>(122*158)*45</f>
        <v>867420</v>
      </c>
      <c r="V20" s="192">
        <f>(272*158)*45</f>
        <v>1933920</v>
      </c>
      <c r="W20" s="206">
        <f>U20+V20</f>
        <v>2801340</v>
      </c>
    </row>
    <row r="21" spans="1:23" s="102" customFormat="1" ht="24.95" customHeight="1" thickBot="1" x14ac:dyDescent="0.25">
      <c r="A21" s="236"/>
      <c r="B21" s="237"/>
      <c r="C21" s="238">
        <f>C5+C7+C10+C12+C14+C16+C18+C20</f>
        <v>3344</v>
      </c>
      <c r="D21" s="239"/>
      <c r="E21" s="240">
        <f>E5+E7+E10+E12+E14+E16+E18+E20</f>
        <v>432581</v>
      </c>
      <c r="F21" s="241">
        <v>45</v>
      </c>
      <c r="G21" s="240">
        <f>G5+G7+G10+G12+G14+G16+G18+G20</f>
        <v>19466145</v>
      </c>
      <c r="H21" s="240">
        <f>H5+H7+H10+H12+H14+H16+H18+H20</f>
        <v>1557291.6</v>
      </c>
      <c r="I21" s="240">
        <f>I5+I7+I10+I12+I14+I16+I18+I20</f>
        <v>21023436.599999998</v>
      </c>
      <c r="J21" s="242"/>
      <c r="K21" s="243">
        <f>K3+K6+K8+K12+K14+K16+K18+K20</f>
        <v>19466145</v>
      </c>
      <c r="L21" s="386">
        <f>L5+L7+L10+L12+L14+L16+L18+L20</f>
        <v>6507810</v>
      </c>
      <c r="M21" s="387"/>
      <c r="N21" s="244">
        <f>N5+N7+N10+N12+N14+N16+N18+N20</f>
        <v>520624.79999999993</v>
      </c>
      <c r="O21" s="245">
        <f>O5+O7+O10+O12+O14+O16+O18+O18+O20</f>
        <v>8060115.5999999996</v>
      </c>
      <c r="P21" s="246">
        <f>P5+P7+P10+P12+P14+P16+P18+P20</f>
        <v>12958335</v>
      </c>
      <c r="Q21" s="247">
        <f>Q5+Q7+Q10+Q12+Q14+Q16+Q18+Q20</f>
        <v>1036666.8</v>
      </c>
      <c r="R21" s="247">
        <f>R5+R7+R10+R12+R14+R16+R18+R20</f>
        <v>13995001.799999999</v>
      </c>
      <c r="S21" s="248">
        <f>S5+S7+S10+S12+S14+S16+S18+S20</f>
        <v>1557291.6</v>
      </c>
      <c r="T21" s="248"/>
      <c r="V21" s="117"/>
    </row>
    <row r="22" spans="1:23" s="207" customFormat="1" ht="14.25" customHeight="1" x14ac:dyDescent="0.2">
      <c r="A22" s="249"/>
      <c r="B22" s="249"/>
      <c r="C22" s="250"/>
      <c r="D22" s="251"/>
      <c r="E22" s="250"/>
      <c r="F22" s="252"/>
      <c r="G22" s="250"/>
      <c r="H22" s="250"/>
      <c r="I22" s="250"/>
      <c r="J22" s="250"/>
      <c r="K22" s="250"/>
      <c r="L22" s="360"/>
      <c r="M22" s="361"/>
      <c r="N22" s="253"/>
      <c r="O22" s="254"/>
      <c r="P22" s="248"/>
      <c r="Q22" s="248"/>
      <c r="R22" s="248"/>
      <c r="S22" s="248"/>
      <c r="T22" s="248"/>
      <c r="V22" s="255"/>
    </row>
    <row r="23" spans="1:23" s="102" customFormat="1" ht="24.95" customHeight="1" x14ac:dyDescent="0.25">
      <c r="A23" s="256"/>
      <c r="B23" s="257"/>
      <c r="C23" s="258"/>
      <c r="D23" s="259"/>
      <c r="E23" s="260"/>
      <c r="F23" s="261"/>
      <c r="G23" s="261"/>
      <c r="H23" s="261"/>
      <c r="I23" s="261"/>
      <c r="J23" s="262"/>
      <c r="K23" s="263" t="s">
        <v>52</v>
      </c>
      <c r="L23" s="364">
        <f>L21+P21</f>
        <v>19466145</v>
      </c>
      <c r="M23" s="364"/>
      <c r="N23" s="264"/>
      <c r="O23" s="264"/>
      <c r="P23" s="264"/>
      <c r="Q23" s="265"/>
      <c r="R23" s="265"/>
      <c r="S23" s="265"/>
      <c r="T23" s="265"/>
    </row>
    <row r="24" spans="1:23" s="102" customFormat="1" ht="24.95" customHeight="1" x14ac:dyDescent="0.2">
      <c r="A24" s="256"/>
      <c r="B24" s="266"/>
      <c r="C24" s="267"/>
      <c r="D24" s="268"/>
      <c r="E24" s="268"/>
      <c r="F24" s="268"/>
      <c r="G24" s="259"/>
      <c r="H24" s="269"/>
      <c r="I24" s="268"/>
      <c r="J24" s="256"/>
      <c r="K24" s="270" t="s">
        <v>54</v>
      </c>
      <c r="L24" s="362">
        <f>N21+Q21</f>
        <v>1557291.6</v>
      </c>
      <c r="M24" s="363"/>
      <c r="N24" s="271"/>
      <c r="O24" s="271"/>
      <c r="P24" s="261"/>
      <c r="Q24" s="261"/>
      <c r="R24" s="261"/>
      <c r="S24" s="272"/>
      <c r="T24" s="272"/>
      <c r="U24" s="273" t="e">
        <f>L5+#REF!</f>
        <v>#REF!</v>
      </c>
      <c r="V24" s="117">
        <f>DATEDIF("01.10.2022","10.10.2023","d")</f>
        <v>374</v>
      </c>
    </row>
    <row r="25" spans="1:23" s="102" customFormat="1" ht="24.95" customHeight="1" x14ac:dyDescent="0.25">
      <c r="K25" s="274" t="s">
        <v>53</v>
      </c>
      <c r="L25" s="356">
        <f>L23+L24</f>
        <v>21023436.600000001</v>
      </c>
      <c r="M25" s="357"/>
      <c r="S25" s="207"/>
      <c r="T25" s="207"/>
    </row>
    <row r="26" spans="1:23" ht="12" customHeight="1" x14ac:dyDescent="0.25">
      <c r="A26" s="276"/>
      <c r="B26" s="276"/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329"/>
      <c r="O26" s="329"/>
      <c r="P26" s="276"/>
      <c r="Q26" s="276"/>
      <c r="R26" s="276"/>
    </row>
    <row r="27" spans="1:23" ht="12" customHeight="1" x14ac:dyDescent="0.25">
      <c r="A27" s="276"/>
      <c r="B27" s="276"/>
      <c r="C27" s="276"/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N27" s="329"/>
      <c r="O27" s="329"/>
      <c r="P27" s="276"/>
      <c r="Q27" s="276"/>
      <c r="R27" s="276"/>
    </row>
    <row r="28" spans="1:23" ht="20.100000000000001" customHeight="1" x14ac:dyDescent="0.25">
      <c r="K28" s="276"/>
      <c r="L28" s="276"/>
      <c r="M28" s="344" t="s">
        <v>76</v>
      </c>
      <c r="N28" s="344"/>
      <c r="O28" s="344"/>
      <c r="P28" s="344"/>
      <c r="Q28" s="344"/>
    </row>
    <row r="29" spans="1:23" ht="28.5" customHeight="1" x14ac:dyDescent="0.25">
      <c r="C29" s="351" t="s">
        <v>62</v>
      </c>
      <c r="D29" s="350" t="s">
        <v>64</v>
      </c>
      <c r="E29" s="350"/>
      <c r="F29" s="347" t="s">
        <v>69</v>
      </c>
      <c r="G29" s="347"/>
      <c r="H29" s="347"/>
      <c r="I29" s="347" t="s">
        <v>63</v>
      </c>
      <c r="K29" s="314"/>
      <c r="L29" s="314"/>
      <c r="M29" s="345" t="s">
        <v>66</v>
      </c>
      <c r="N29" s="345"/>
      <c r="O29" s="345"/>
      <c r="P29" s="345"/>
      <c r="Q29" s="346"/>
    </row>
    <row r="30" spans="1:23" ht="20.100000000000001" customHeight="1" x14ac:dyDescent="0.25">
      <c r="C30" s="351"/>
      <c r="D30" s="350"/>
      <c r="E30" s="350"/>
      <c r="F30" s="313">
        <v>2022</v>
      </c>
      <c r="G30" s="313">
        <v>2023</v>
      </c>
      <c r="H30" s="313">
        <v>2024</v>
      </c>
      <c r="I30" s="347"/>
      <c r="K30" s="315"/>
      <c r="L30" s="315"/>
      <c r="M30" s="333" t="s">
        <v>75</v>
      </c>
      <c r="N30" s="317" t="s">
        <v>65</v>
      </c>
      <c r="O30" s="317" t="s">
        <v>67</v>
      </c>
      <c r="P30" s="317" t="s">
        <v>68</v>
      </c>
      <c r="Q30" s="316" t="s">
        <v>70</v>
      </c>
    </row>
    <row r="31" spans="1:23" ht="20.100000000000001" customHeight="1" x14ac:dyDescent="0.25">
      <c r="C31" s="286">
        <v>2</v>
      </c>
      <c r="D31" s="354">
        <v>148</v>
      </c>
      <c r="E31" s="354"/>
      <c r="F31" s="320">
        <v>44774</v>
      </c>
      <c r="G31" s="320">
        <v>45291</v>
      </c>
      <c r="H31" s="67"/>
      <c r="I31" s="313">
        <v>234</v>
      </c>
      <c r="K31" s="315"/>
      <c r="L31" s="315"/>
      <c r="M31" s="319">
        <v>7</v>
      </c>
      <c r="N31" s="313">
        <v>106</v>
      </c>
      <c r="O31" s="313">
        <v>137</v>
      </c>
      <c r="P31" s="313">
        <v>150</v>
      </c>
      <c r="Q31" s="323">
        <f>M31+N31+O31+P31</f>
        <v>400</v>
      </c>
    </row>
    <row r="32" spans="1:23" ht="20.100000000000001" customHeight="1" x14ac:dyDescent="0.25">
      <c r="C32" s="286">
        <v>10</v>
      </c>
      <c r="D32" s="354">
        <v>251</v>
      </c>
      <c r="E32" s="354"/>
      <c r="F32" s="320">
        <v>44805</v>
      </c>
      <c r="G32" s="67"/>
      <c r="H32" s="321">
        <v>45352</v>
      </c>
      <c r="I32" s="313">
        <v>262</v>
      </c>
      <c r="K32" s="335"/>
      <c r="L32" s="335"/>
      <c r="M32" s="334">
        <v>2310</v>
      </c>
      <c r="N32" s="325">
        <v>187314.62</v>
      </c>
      <c r="O32" s="325">
        <v>92334</v>
      </c>
      <c r="P32" s="326">
        <f>152334+10530</f>
        <v>162864</v>
      </c>
      <c r="Q32" s="327">
        <f>M32+N32+O32+P32</f>
        <v>444822.62</v>
      </c>
      <c r="R32" s="328" t="s">
        <v>77</v>
      </c>
    </row>
    <row r="33" spans="2:21" ht="20.100000000000001" customHeight="1" x14ac:dyDescent="0.25">
      <c r="C33" s="286">
        <v>9</v>
      </c>
      <c r="D33" s="354">
        <v>244</v>
      </c>
      <c r="E33" s="354"/>
      <c r="F33" s="320">
        <v>44835</v>
      </c>
      <c r="G33" s="67"/>
      <c r="H33" s="321">
        <v>45383</v>
      </c>
      <c r="I33" s="313">
        <v>257</v>
      </c>
      <c r="N33"/>
      <c r="O33"/>
      <c r="P33" s="88"/>
      <c r="Q33" s="330">
        <f>Q32/Q31</f>
        <v>1112.05655</v>
      </c>
      <c r="R33" s="331" t="s">
        <v>78</v>
      </c>
      <c r="U33" s="67"/>
    </row>
    <row r="34" spans="2:21" ht="20.100000000000001" customHeight="1" x14ac:dyDescent="0.25">
      <c r="C34" s="67"/>
      <c r="D34" s="355">
        <f>SUM(D31:D33)</f>
        <v>643</v>
      </c>
      <c r="E34" s="355"/>
      <c r="F34" s="67"/>
      <c r="G34" s="67"/>
      <c r="H34" s="67"/>
      <c r="I34" s="318">
        <f>SUM(I31:I33)</f>
        <v>753</v>
      </c>
      <c r="N34"/>
      <c r="O34"/>
      <c r="P34" s="88"/>
      <c r="Q34" s="324">
        <f>Q33*18</f>
        <v>20017.017899999999</v>
      </c>
      <c r="R34" t="s">
        <v>79</v>
      </c>
    </row>
    <row r="35" spans="2:21" ht="17.25" customHeight="1" x14ac:dyDescent="0.25">
      <c r="C35" s="347" t="s">
        <v>71</v>
      </c>
      <c r="D35" s="348">
        <f>O31</f>
        <v>137</v>
      </c>
      <c r="E35" s="348"/>
    </row>
    <row r="36" spans="2:21" ht="10.5" customHeight="1" x14ac:dyDescent="0.25">
      <c r="C36" s="347"/>
      <c r="D36" s="348"/>
      <c r="E36" s="348"/>
    </row>
    <row r="37" spans="2:21" ht="24" customHeight="1" x14ac:dyDescent="0.25">
      <c r="C37" s="322" t="s">
        <v>72</v>
      </c>
      <c r="D37" s="349">
        <f>D34+D35</f>
        <v>780</v>
      </c>
      <c r="E37" s="349"/>
    </row>
    <row r="38" spans="2:21" ht="20.100000000000001" customHeight="1" x14ac:dyDescent="0.25">
      <c r="B38" s="332" t="s">
        <v>74</v>
      </c>
      <c r="C38" s="287" t="s">
        <v>73</v>
      </c>
      <c r="D38" s="351">
        <v>200</v>
      </c>
      <c r="E38" s="351"/>
    </row>
    <row r="39" spans="2:21" ht="20.100000000000001" customHeight="1" x14ac:dyDescent="0.25">
      <c r="D39" s="352">
        <f>D37+D38</f>
        <v>980</v>
      </c>
      <c r="E39" s="353"/>
    </row>
    <row r="40" spans="2:21" ht="20.100000000000001" customHeight="1" x14ac:dyDescent="0.25"/>
  </sheetData>
  <mergeCells count="54">
    <mergeCell ref="A5:B5"/>
    <mergeCell ref="L5:M5"/>
    <mergeCell ref="L7:M7"/>
    <mergeCell ref="L3:M3"/>
    <mergeCell ref="L4:M4"/>
    <mergeCell ref="A1:P1"/>
    <mergeCell ref="L21:M21"/>
    <mergeCell ref="L10:M10"/>
    <mergeCell ref="A10:B10"/>
    <mergeCell ref="L9:M9"/>
    <mergeCell ref="L8:M8"/>
    <mergeCell ref="L2:M2"/>
    <mergeCell ref="K3:K5"/>
    <mergeCell ref="J6:J7"/>
    <mergeCell ref="K6:K7"/>
    <mergeCell ref="L6:M6"/>
    <mergeCell ref="L11:M11"/>
    <mergeCell ref="J8:J9"/>
    <mergeCell ref="K8:K9"/>
    <mergeCell ref="A7:B7"/>
    <mergeCell ref="J3:J4"/>
    <mergeCell ref="A12:B12"/>
    <mergeCell ref="A14:B14"/>
    <mergeCell ref="A16:B16"/>
    <mergeCell ref="A18:B18"/>
    <mergeCell ref="A20:B20"/>
    <mergeCell ref="L12:M12"/>
    <mergeCell ref="L14:M14"/>
    <mergeCell ref="L16:M16"/>
    <mergeCell ref="L18:M18"/>
    <mergeCell ref="L20:M20"/>
    <mergeCell ref="L25:M25"/>
    <mergeCell ref="L13:M13"/>
    <mergeCell ref="L15:M15"/>
    <mergeCell ref="L17:M17"/>
    <mergeCell ref="L19:M19"/>
    <mergeCell ref="L22:M22"/>
    <mergeCell ref="L24:M24"/>
    <mergeCell ref="L23:M23"/>
    <mergeCell ref="D38:E38"/>
    <mergeCell ref="D39:E39"/>
    <mergeCell ref="D31:E31"/>
    <mergeCell ref="D32:E32"/>
    <mergeCell ref="D33:E33"/>
    <mergeCell ref="D34:E34"/>
    <mergeCell ref="M28:Q28"/>
    <mergeCell ref="M29:Q29"/>
    <mergeCell ref="C35:C36"/>
    <mergeCell ref="D35:E36"/>
    <mergeCell ref="D37:E37"/>
    <mergeCell ref="D29:E30"/>
    <mergeCell ref="C29:C30"/>
    <mergeCell ref="F29:H29"/>
    <mergeCell ref="I29:I30"/>
  </mergeCells>
  <printOptions horizontalCentered="1"/>
  <pageMargins left="0.51181102362204722" right="0.31496062992125984" top="0.74803149606299213" bottom="0.74803149606299213" header="0.31496062992125984" footer="0.31496062992125984"/>
  <pageSetup paperSize="9" scale="51" orientation="landscape" r:id="rId1"/>
  <rowBreaks count="1" manualBreakCount="1">
    <brk id="27" max="16383" man="1"/>
  </rowBreaks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zoomScaleNormal="100" workbookViewId="0">
      <selection activeCell="N6" sqref="N6"/>
    </sheetView>
  </sheetViews>
  <sheetFormatPr defaultRowHeight="15" x14ac:dyDescent="0.25"/>
  <cols>
    <col min="1" max="1" width="6.28515625" customWidth="1"/>
    <col min="2" max="2" width="20.7109375" customWidth="1"/>
    <col min="3" max="3" width="7.28515625" customWidth="1"/>
    <col min="4" max="4" width="6.85546875" customWidth="1"/>
    <col min="5" max="5" width="10.140625" bestFit="1" customWidth="1"/>
    <col min="7" max="7" width="15.5703125" customWidth="1"/>
    <col min="8" max="8" width="13.28515625" bestFit="1" customWidth="1"/>
    <col min="9" max="9" width="14.140625" customWidth="1"/>
    <col min="10" max="10" width="7.42578125" customWidth="1"/>
    <col min="11" max="11" width="14.5703125" customWidth="1"/>
    <col min="12" max="12" width="9.140625" customWidth="1"/>
    <col min="13" max="13" width="6.28515625" customWidth="1"/>
    <col min="14" max="14" width="14.7109375" customWidth="1"/>
    <col min="15" max="15" width="3.42578125" style="58" customWidth="1"/>
    <col min="16" max="16" width="15.5703125" customWidth="1"/>
    <col min="17" max="17" width="17.140625" customWidth="1"/>
    <col min="18" max="18" width="17.5703125" customWidth="1"/>
    <col min="19" max="19" width="8.5703125" customWidth="1"/>
  </cols>
  <sheetData>
    <row r="1" spans="1:26" ht="19.5" thickBot="1" x14ac:dyDescent="0.35">
      <c r="A1" s="385" t="s">
        <v>14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52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15.75" thickBot="1" x14ac:dyDescent="0.3">
      <c r="A2" s="1" t="s">
        <v>0</v>
      </c>
      <c r="B2" s="2" t="s">
        <v>1</v>
      </c>
      <c r="C2" s="2" t="s">
        <v>2</v>
      </c>
      <c r="D2" s="3" t="s">
        <v>3</v>
      </c>
      <c r="E2" s="3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80" t="s">
        <v>9</v>
      </c>
      <c r="K2" s="82" t="s">
        <v>10</v>
      </c>
      <c r="L2" s="429" t="s">
        <v>15</v>
      </c>
      <c r="M2" s="430"/>
      <c r="N2" s="44" t="s">
        <v>16</v>
      </c>
      <c r="O2" s="53"/>
      <c r="P2">
        <v>2022</v>
      </c>
      <c r="Q2" s="50" t="s">
        <v>18</v>
      </c>
      <c r="R2" s="50" t="s">
        <v>17</v>
      </c>
      <c r="T2" s="50" t="s">
        <v>20</v>
      </c>
      <c r="U2" s="50" t="s">
        <v>21</v>
      </c>
    </row>
    <row r="3" spans="1:26" x14ac:dyDescent="0.25">
      <c r="A3" s="83">
        <v>1</v>
      </c>
      <c r="B3" s="63" t="s">
        <v>22</v>
      </c>
      <c r="C3" s="27">
        <v>40</v>
      </c>
      <c r="D3" s="27">
        <v>50</v>
      </c>
      <c r="E3" s="27">
        <f>C3*D3</f>
        <v>2000</v>
      </c>
      <c r="F3" s="31">
        <v>45</v>
      </c>
      <c r="G3" s="32">
        <f t="shared" ref="G3:G11" si="0">E3*F3</f>
        <v>90000</v>
      </c>
      <c r="H3" s="32">
        <f t="shared" ref="H3:H12" si="1">G3*0.08</f>
        <v>7200</v>
      </c>
      <c r="I3" s="41">
        <f t="shared" ref="I3:I12" si="2">G3+H3</f>
        <v>97200</v>
      </c>
      <c r="J3" s="78" t="s">
        <v>25</v>
      </c>
      <c r="K3" s="422">
        <f>L7+N7</f>
        <v>5428260</v>
      </c>
      <c r="L3" s="424">
        <f>G3</f>
        <v>90000</v>
      </c>
      <c r="M3" s="425"/>
      <c r="N3" s="84"/>
      <c r="O3" s="51"/>
      <c r="P3" s="49"/>
      <c r="Q3" s="49"/>
      <c r="R3" s="49"/>
      <c r="T3">
        <v>158</v>
      </c>
      <c r="U3">
        <v>25</v>
      </c>
    </row>
    <row r="4" spans="1:26" x14ac:dyDescent="0.25">
      <c r="A4" s="83">
        <v>2</v>
      </c>
      <c r="B4" s="63" t="s">
        <v>23</v>
      </c>
      <c r="C4" s="27">
        <v>31</v>
      </c>
      <c r="D4" s="27">
        <v>56</v>
      </c>
      <c r="E4" s="27">
        <f t="shared" ref="E4:E6" si="3">C4*D4</f>
        <v>1736</v>
      </c>
      <c r="F4" s="31">
        <v>45</v>
      </c>
      <c r="G4" s="32">
        <f t="shared" si="0"/>
        <v>78120</v>
      </c>
      <c r="H4" s="32">
        <f t="shared" si="1"/>
        <v>6249.6</v>
      </c>
      <c r="I4" s="41">
        <f t="shared" si="2"/>
        <v>84369.600000000006</v>
      </c>
      <c r="J4" s="78" t="s">
        <v>24</v>
      </c>
      <c r="K4" s="422"/>
      <c r="L4" s="424">
        <f>G4</f>
        <v>78120</v>
      </c>
      <c r="M4" s="425"/>
      <c r="N4" s="84"/>
      <c r="O4" s="51"/>
      <c r="P4" s="49"/>
      <c r="Q4" s="49"/>
      <c r="R4" s="49"/>
    </row>
    <row r="5" spans="1:26" x14ac:dyDescent="0.25">
      <c r="A5" s="83">
        <v>3</v>
      </c>
      <c r="B5" s="63" t="s">
        <v>27</v>
      </c>
      <c r="C5" s="27">
        <v>61</v>
      </c>
      <c r="D5" s="27">
        <v>96</v>
      </c>
      <c r="E5" s="27">
        <f t="shared" si="3"/>
        <v>5856</v>
      </c>
      <c r="F5" s="31">
        <v>45</v>
      </c>
      <c r="G5" s="32">
        <f t="shared" si="0"/>
        <v>263520</v>
      </c>
      <c r="H5" s="32">
        <f t="shared" si="1"/>
        <v>21081.600000000002</v>
      </c>
      <c r="I5" s="41">
        <f t="shared" si="2"/>
        <v>284601.59999999998</v>
      </c>
      <c r="J5" s="426" t="s">
        <v>26</v>
      </c>
      <c r="K5" s="422"/>
      <c r="L5" s="424">
        <f>G5</f>
        <v>263520</v>
      </c>
      <c r="M5" s="425"/>
      <c r="N5" s="84"/>
      <c r="O5" s="51"/>
      <c r="P5" s="49"/>
      <c r="Q5" s="49"/>
      <c r="R5" s="49"/>
    </row>
    <row r="6" spans="1:26" x14ac:dyDescent="0.25">
      <c r="A6" s="85">
        <v>4</v>
      </c>
      <c r="B6" s="86" t="s">
        <v>28</v>
      </c>
      <c r="C6" s="27">
        <v>487</v>
      </c>
      <c r="D6" s="27">
        <v>228</v>
      </c>
      <c r="E6" s="27">
        <f t="shared" si="3"/>
        <v>111036</v>
      </c>
      <c r="F6" s="31">
        <v>45</v>
      </c>
      <c r="G6" s="32">
        <f t="shared" si="0"/>
        <v>4996620</v>
      </c>
      <c r="H6" s="32">
        <f t="shared" si="1"/>
        <v>399729.60000000003</v>
      </c>
      <c r="I6" s="41">
        <f t="shared" si="2"/>
        <v>5396349.5999999996</v>
      </c>
      <c r="J6" s="427"/>
      <c r="K6" s="422"/>
      <c r="L6" s="425">
        <f>(123*228)*45</f>
        <v>1261980</v>
      </c>
      <c r="M6" s="428"/>
      <c r="N6" s="84">
        <f>(364*228)*45</f>
        <v>3734640</v>
      </c>
      <c r="O6" s="51"/>
      <c r="P6" s="49"/>
      <c r="Q6" s="49"/>
      <c r="R6" s="49"/>
    </row>
    <row r="7" spans="1:26" ht="24" customHeight="1" thickBot="1" x14ac:dyDescent="0.3">
      <c r="A7" s="419" t="s">
        <v>11</v>
      </c>
      <c r="B7" s="420"/>
      <c r="C7" s="60">
        <f>C3+C4+C5+C6</f>
        <v>619</v>
      </c>
      <c r="D7" s="6"/>
      <c r="E7" s="60">
        <f>E3+E4+E5+E6</f>
        <v>120628</v>
      </c>
      <c r="F7" s="61">
        <v>45</v>
      </c>
      <c r="G7" s="62">
        <f>G3+G4+G5+G6</f>
        <v>5428260</v>
      </c>
      <c r="H7" s="62">
        <f>H3+H4+H5+H6</f>
        <v>434260.80000000005</v>
      </c>
      <c r="I7" s="62">
        <f>I3+I4+I5+I6</f>
        <v>5862520.7999999998</v>
      </c>
      <c r="J7" s="81"/>
      <c r="K7" s="423"/>
      <c r="L7" s="421">
        <f>L3+L4+L5+L6</f>
        <v>1693620</v>
      </c>
      <c r="M7" s="421"/>
      <c r="N7" s="79">
        <f>N6</f>
        <v>3734640</v>
      </c>
      <c r="O7" s="54"/>
      <c r="P7" s="68" t="e">
        <f>(214*228)*#REF!</f>
        <v>#REF!</v>
      </c>
      <c r="Q7" s="68" t="e">
        <f>(364*228)*#REF!</f>
        <v>#REF!</v>
      </c>
      <c r="R7" s="68" t="e">
        <f>P7+Q7</f>
        <v>#REF!</v>
      </c>
      <c r="S7" s="69"/>
      <c r="T7" s="69" t="e">
        <f>#REF!-T3</f>
        <v>#REF!</v>
      </c>
      <c r="U7" s="69">
        <v>13</v>
      </c>
      <c r="V7" s="69"/>
    </row>
    <row r="8" spans="1:26" hidden="1" x14ac:dyDescent="0.25">
      <c r="A8" s="73">
        <v>1</v>
      </c>
      <c r="B8" s="4" t="s">
        <v>28</v>
      </c>
      <c r="C8" s="5">
        <v>487</v>
      </c>
      <c r="D8" s="74">
        <v>66</v>
      </c>
      <c r="E8" s="5">
        <f>C8*D8</f>
        <v>32142</v>
      </c>
      <c r="F8" s="36">
        <v>45</v>
      </c>
      <c r="G8" s="36">
        <f t="shared" si="0"/>
        <v>1446390</v>
      </c>
      <c r="H8" s="36">
        <f t="shared" si="1"/>
        <v>115711.2</v>
      </c>
      <c r="I8" s="39">
        <f t="shared" si="2"/>
        <v>1562101.2</v>
      </c>
      <c r="J8" s="431" t="s">
        <v>29</v>
      </c>
      <c r="K8" s="433">
        <f>L9+N9</f>
        <v>1446390</v>
      </c>
      <c r="L8" s="435">
        <f>(123*66)*45</f>
        <v>365310</v>
      </c>
      <c r="M8" s="436"/>
      <c r="N8" s="45">
        <f>G8-L8</f>
        <v>1081080</v>
      </c>
      <c r="O8" s="51"/>
    </row>
    <row r="9" spans="1:26" ht="16.5" hidden="1" thickBot="1" x14ac:dyDescent="0.3">
      <c r="A9" s="437" t="s">
        <v>12</v>
      </c>
      <c r="B9" s="438"/>
      <c r="C9" s="70">
        <f>C8</f>
        <v>487</v>
      </c>
      <c r="D9" s="7">
        <v>66</v>
      </c>
      <c r="E9" s="70">
        <f>E8</f>
        <v>32142</v>
      </c>
      <c r="F9" s="71">
        <v>45</v>
      </c>
      <c r="G9" s="72">
        <f t="shared" si="0"/>
        <v>1446390</v>
      </c>
      <c r="H9" s="72">
        <f t="shared" si="1"/>
        <v>115711.2</v>
      </c>
      <c r="I9" s="72">
        <f t="shared" si="2"/>
        <v>1562101.2</v>
      </c>
      <c r="J9" s="432"/>
      <c r="K9" s="434"/>
      <c r="L9" s="439">
        <f>L8</f>
        <v>365310</v>
      </c>
      <c r="M9" s="439"/>
      <c r="N9" s="75">
        <f>N8</f>
        <v>1081080</v>
      </c>
      <c r="O9" s="54"/>
    </row>
    <row r="10" spans="1:26" ht="15" hidden="1" customHeight="1" x14ac:dyDescent="0.25">
      <c r="A10" s="8">
        <v>1</v>
      </c>
      <c r="B10" s="4" t="s">
        <v>30</v>
      </c>
      <c r="C10" s="26">
        <v>16</v>
      </c>
      <c r="D10" s="9">
        <v>36</v>
      </c>
      <c r="E10" s="26">
        <f>C10*D10</f>
        <v>576</v>
      </c>
      <c r="F10" s="31">
        <v>45</v>
      </c>
      <c r="G10" s="31">
        <f t="shared" si="0"/>
        <v>25920</v>
      </c>
      <c r="H10" s="31">
        <f t="shared" si="1"/>
        <v>2073.6</v>
      </c>
      <c r="I10" s="40">
        <f t="shared" si="2"/>
        <v>27993.599999999999</v>
      </c>
      <c r="J10" s="431" t="s">
        <v>31</v>
      </c>
      <c r="K10" s="433">
        <f>L12+N12</f>
        <v>1641600</v>
      </c>
      <c r="L10" s="442">
        <f>G10</f>
        <v>25920</v>
      </c>
      <c r="M10" s="443"/>
      <c r="N10" s="46"/>
      <c r="O10" s="51"/>
      <c r="Q10" s="49"/>
    </row>
    <row r="11" spans="1:26" ht="15" hidden="1" customHeight="1" x14ac:dyDescent="0.25">
      <c r="A11" s="10">
        <f t="shared" ref="A11" si="4">A10+1</f>
        <v>2</v>
      </c>
      <c r="B11" s="76" t="s">
        <v>32</v>
      </c>
      <c r="C11" s="27">
        <v>374</v>
      </c>
      <c r="D11" s="11">
        <v>96</v>
      </c>
      <c r="E11" s="27">
        <f>C11*D11</f>
        <v>35904</v>
      </c>
      <c r="F11" s="31">
        <v>45</v>
      </c>
      <c r="G11" s="32">
        <f t="shared" si="0"/>
        <v>1615680</v>
      </c>
      <c r="H11" s="32">
        <f t="shared" si="1"/>
        <v>129254.40000000001</v>
      </c>
      <c r="I11" s="41">
        <f t="shared" si="2"/>
        <v>1744934.4</v>
      </c>
      <c r="J11" s="440"/>
      <c r="K11" s="441"/>
      <c r="L11" s="444">
        <f>(92*96)*45</f>
        <v>397440</v>
      </c>
      <c r="M11" s="445"/>
      <c r="N11" s="46">
        <f>(282*96)*45</f>
        <v>1218240</v>
      </c>
      <c r="O11" s="51"/>
      <c r="Q11" t="s">
        <v>19</v>
      </c>
    </row>
    <row r="12" spans="1:26" ht="16.5" hidden="1" thickBot="1" x14ac:dyDescent="0.3">
      <c r="A12" s="446" t="s">
        <v>13</v>
      </c>
      <c r="B12" s="447"/>
      <c r="C12" s="28">
        <f>SUM(C10:C11)</f>
        <v>390</v>
      </c>
      <c r="D12" s="12"/>
      <c r="E12" s="28">
        <f>SUM(E10:E11)</f>
        <v>36480</v>
      </c>
      <c r="F12" s="33">
        <v>45</v>
      </c>
      <c r="G12" s="37">
        <f>SUM(G10:G11)</f>
        <v>1641600</v>
      </c>
      <c r="H12" s="37">
        <f t="shared" si="1"/>
        <v>131328</v>
      </c>
      <c r="I12" s="37">
        <f t="shared" si="2"/>
        <v>1772928</v>
      </c>
      <c r="J12" s="65"/>
      <c r="K12" s="77"/>
      <c r="L12" s="448">
        <f>SUM(L10:L11)</f>
        <v>423360</v>
      </c>
      <c r="M12" s="448"/>
      <c r="N12" s="47">
        <f>SUM(N10:N11)</f>
        <v>1218240</v>
      </c>
      <c r="O12" s="55"/>
    </row>
    <row r="13" spans="1:26" ht="16.5" hidden="1" thickBot="1" x14ac:dyDescent="0.3">
      <c r="A13" s="13"/>
      <c r="B13" s="14"/>
      <c r="C13" s="29">
        <f>C7+C9+C12</f>
        <v>1496</v>
      </c>
      <c r="D13" s="15"/>
      <c r="E13" s="15">
        <f>E7+E9+E12</f>
        <v>189250</v>
      </c>
      <c r="F13" s="34">
        <v>45</v>
      </c>
      <c r="G13" s="38">
        <f>G7+G9+G12</f>
        <v>8516250</v>
      </c>
      <c r="H13" s="38">
        <f>H7+H9+H12</f>
        <v>681300</v>
      </c>
      <c r="I13" s="38">
        <f>I7+I9+I12</f>
        <v>9197550</v>
      </c>
      <c r="J13" s="16"/>
      <c r="K13" s="42">
        <f>K3+K8+K10</f>
        <v>8516250</v>
      </c>
      <c r="L13" s="449">
        <f>L7+L9+L12</f>
        <v>2482290</v>
      </c>
      <c r="M13" s="450"/>
      <c r="N13" s="48">
        <f>N7+N9+N12</f>
        <v>6033960</v>
      </c>
      <c r="O13" s="66"/>
      <c r="Q13" s="49" t="e">
        <f>DATEDIF("31.08.2022","30.09.2023","d")</f>
        <v>#VALUE!</v>
      </c>
    </row>
    <row r="14" spans="1:26" ht="16.5" hidden="1" thickBot="1" x14ac:dyDescent="0.3">
      <c r="A14" s="18"/>
      <c r="B14" s="19"/>
      <c r="C14" s="20"/>
      <c r="D14" s="21"/>
      <c r="E14" s="30"/>
      <c r="F14" s="35"/>
      <c r="G14" s="35"/>
      <c r="H14" s="35"/>
      <c r="I14" s="35"/>
      <c r="J14" s="22"/>
      <c r="K14" s="21"/>
      <c r="L14" s="451">
        <f>L13+N13</f>
        <v>8516250</v>
      </c>
      <c r="M14" s="452"/>
      <c r="N14" s="453"/>
      <c r="O14" s="56"/>
    </row>
    <row r="15" spans="1:26" x14ac:dyDescent="0.25">
      <c r="A15" s="18"/>
      <c r="B15" s="23"/>
      <c r="C15" s="24"/>
      <c r="D15" s="17"/>
      <c r="E15" s="17"/>
      <c r="F15" s="17"/>
      <c r="G15" s="21"/>
      <c r="H15" s="25"/>
      <c r="I15" s="17"/>
      <c r="J15" s="18"/>
      <c r="K15" s="17"/>
      <c r="L15" s="454"/>
      <c r="M15" s="455"/>
      <c r="N15" s="64"/>
      <c r="O15" s="57"/>
      <c r="P15" s="59" t="e">
        <f>L7+#REF!</f>
        <v>#REF!</v>
      </c>
      <c r="Q15" s="49" t="e">
        <f>DATEDIF("01.10.2022","10.10.2023","d")</f>
        <v>#VALUE!</v>
      </c>
    </row>
    <row r="16" spans="1:26" ht="15.75" thickBot="1" x14ac:dyDescent="0.3"/>
    <row r="17" spans="1:16" ht="15" customHeight="1" thickBot="1" x14ac:dyDescent="0.3">
      <c r="A17" s="1" t="s">
        <v>0</v>
      </c>
      <c r="B17" s="2" t="s">
        <v>1</v>
      </c>
      <c r="C17" s="2" t="s">
        <v>2</v>
      </c>
      <c r="D17" s="3" t="s">
        <v>3</v>
      </c>
      <c r="E17" s="3" t="s">
        <v>4</v>
      </c>
      <c r="F17" s="2" t="s">
        <v>5</v>
      </c>
      <c r="G17" s="2" t="s">
        <v>6</v>
      </c>
      <c r="H17" s="2" t="s">
        <v>7</v>
      </c>
      <c r="I17" s="2" t="s">
        <v>8</v>
      </c>
      <c r="J17" s="80" t="s">
        <v>9</v>
      </c>
      <c r="K17" s="82" t="s">
        <v>10</v>
      </c>
      <c r="L17" s="429" t="s">
        <v>15</v>
      </c>
      <c r="M17" s="430"/>
      <c r="N17" s="44" t="s">
        <v>16</v>
      </c>
    </row>
    <row r="18" spans="1:16" ht="15" customHeight="1" x14ac:dyDescent="0.25">
      <c r="A18" s="83">
        <v>1</v>
      </c>
      <c r="B18" s="63" t="s">
        <v>22</v>
      </c>
      <c r="C18" s="27">
        <v>40</v>
      </c>
      <c r="D18" s="27">
        <v>50</v>
      </c>
      <c r="E18" s="27">
        <f>C18*D18</f>
        <v>2000</v>
      </c>
      <c r="F18" s="31">
        <v>45</v>
      </c>
      <c r="G18" s="32">
        <f t="shared" ref="G18:G21" si="5">E18*F18</f>
        <v>90000</v>
      </c>
      <c r="H18" s="32">
        <f t="shared" ref="H18:H21" si="6">G18*0.08</f>
        <v>7200</v>
      </c>
      <c r="I18" s="41">
        <f t="shared" ref="I18:I21" si="7">G18+H18</f>
        <v>97200</v>
      </c>
      <c r="J18" s="78" t="s">
        <v>25</v>
      </c>
      <c r="K18" s="422">
        <f>L22+N22</f>
        <v>4484340</v>
      </c>
      <c r="L18" s="424">
        <f>G18</f>
        <v>90000</v>
      </c>
      <c r="M18" s="425"/>
      <c r="N18" s="84"/>
    </row>
    <row r="19" spans="1:16" ht="15" customHeight="1" x14ac:dyDescent="0.25">
      <c r="A19" s="83">
        <v>2</v>
      </c>
      <c r="B19" s="63" t="s">
        <v>23</v>
      </c>
      <c r="C19" s="27">
        <v>31</v>
      </c>
      <c r="D19" s="27">
        <v>56</v>
      </c>
      <c r="E19" s="27">
        <f t="shared" ref="E19:E21" si="8">C19*D19</f>
        <v>1736</v>
      </c>
      <c r="F19" s="31">
        <v>45</v>
      </c>
      <c r="G19" s="32">
        <f t="shared" si="5"/>
        <v>78120</v>
      </c>
      <c r="H19" s="32">
        <f t="shared" si="6"/>
        <v>6249.6</v>
      </c>
      <c r="I19" s="41">
        <f t="shared" si="7"/>
        <v>84369.600000000006</v>
      </c>
      <c r="J19" s="78" t="s">
        <v>24</v>
      </c>
      <c r="K19" s="422"/>
      <c r="L19" s="424">
        <f>G19</f>
        <v>78120</v>
      </c>
      <c r="M19" s="425"/>
      <c r="N19" s="84"/>
    </row>
    <row r="20" spans="1:16" ht="15" customHeight="1" x14ac:dyDescent="0.25">
      <c r="A20" s="83">
        <v>3</v>
      </c>
      <c r="B20" s="63" t="s">
        <v>27</v>
      </c>
      <c r="C20" s="27">
        <v>61</v>
      </c>
      <c r="D20" s="27">
        <v>96</v>
      </c>
      <c r="E20" s="27">
        <f t="shared" si="8"/>
        <v>5856</v>
      </c>
      <c r="F20" s="31">
        <v>45</v>
      </c>
      <c r="G20" s="32">
        <f t="shared" si="5"/>
        <v>263520</v>
      </c>
      <c r="H20" s="32">
        <f t="shared" si="6"/>
        <v>21081.600000000002</v>
      </c>
      <c r="I20" s="41">
        <f t="shared" si="7"/>
        <v>284601.59999999998</v>
      </c>
      <c r="J20" s="426" t="s">
        <v>26</v>
      </c>
      <c r="K20" s="422"/>
      <c r="L20" s="424">
        <f>G20</f>
        <v>263520</v>
      </c>
      <c r="M20" s="425"/>
      <c r="N20" s="84"/>
    </row>
    <row r="21" spans="1:16" ht="15" customHeight="1" x14ac:dyDescent="0.25">
      <c r="A21" s="85">
        <v>4</v>
      </c>
      <c r="B21" s="86" t="s">
        <v>33</v>
      </c>
      <c r="C21" s="27">
        <v>395</v>
      </c>
      <c r="D21" s="27">
        <v>228</v>
      </c>
      <c r="E21" s="27">
        <f t="shared" si="8"/>
        <v>90060</v>
      </c>
      <c r="F21" s="31">
        <v>45</v>
      </c>
      <c r="G21" s="32">
        <f t="shared" si="5"/>
        <v>4052700</v>
      </c>
      <c r="H21" s="32">
        <f t="shared" si="6"/>
        <v>324216</v>
      </c>
      <c r="I21" s="41">
        <f t="shared" si="7"/>
        <v>4376916</v>
      </c>
      <c r="J21" s="427"/>
      <c r="K21" s="422"/>
      <c r="L21" s="425">
        <f>(123*228)*45</f>
        <v>1261980</v>
      </c>
      <c r="M21" s="428"/>
      <c r="N21" s="84">
        <f>(272*228)*45</f>
        <v>2790720</v>
      </c>
    </row>
    <row r="22" spans="1:16" ht="21" customHeight="1" thickBot="1" x14ac:dyDescent="0.3">
      <c r="A22" s="419" t="s">
        <v>11</v>
      </c>
      <c r="B22" s="420"/>
      <c r="C22" s="60">
        <f>C18+C19+C20+C21</f>
        <v>527</v>
      </c>
      <c r="D22" s="6"/>
      <c r="E22" s="60">
        <f>E18+E19+E20+E21</f>
        <v>99652</v>
      </c>
      <c r="F22" s="61">
        <v>45</v>
      </c>
      <c r="G22" s="62">
        <f>G18+G19+G20+G21</f>
        <v>4484340</v>
      </c>
      <c r="H22" s="62">
        <f>H18+H19+H20+H21</f>
        <v>358747.2</v>
      </c>
      <c r="I22" s="62">
        <f>I18+I19+I20+I21</f>
        <v>4843087.2</v>
      </c>
      <c r="J22" s="81"/>
      <c r="K22" s="423"/>
      <c r="L22" s="421">
        <f>L18+L19+L20+L21</f>
        <v>1693620</v>
      </c>
      <c r="M22" s="421"/>
      <c r="N22" s="79">
        <f>N21</f>
        <v>2790720</v>
      </c>
    </row>
    <row r="24" spans="1:16" x14ac:dyDescent="0.25">
      <c r="C24" s="275">
        <f>C21+C20</f>
        <v>456</v>
      </c>
    </row>
    <row r="25" spans="1:16" x14ac:dyDescent="0.25">
      <c r="P25" s="67"/>
    </row>
  </sheetData>
  <mergeCells count="33">
    <mergeCell ref="A1:N1"/>
    <mergeCell ref="L2:M2"/>
    <mergeCell ref="K3:K7"/>
    <mergeCell ref="L3:M3"/>
    <mergeCell ref="L4:M4"/>
    <mergeCell ref="J5:J6"/>
    <mergeCell ref="L5:M5"/>
    <mergeCell ref="L6:M6"/>
    <mergeCell ref="A7:B7"/>
    <mergeCell ref="L7:M7"/>
    <mergeCell ref="L17:M17"/>
    <mergeCell ref="J8:J9"/>
    <mergeCell ref="K8:K9"/>
    <mergeCell ref="L8:M8"/>
    <mergeCell ref="A9:B9"/>
    <mergeCell ref="L9:M9"/>
    <mergeCell ref="J10:J11"/>
    <mergeCell ref="K10:K11"/>
    <mergeCell ref="L10:M10"/>
    <mergeCell ref="L11:M11"/>
    <mergeCell ref="A12:B12"/>
    <mergeCell ref="L12:M12"/>
    <mergeCell ref="L13:M13"/>
    <mergeCell ref="L14:N14"/>
    <mergeCell ref="L15:M15"/>
    <mergeCell ref="A22:B22"/>
    <mergeCell ref="L22:M22"/>
    <mergeCell ref="K18:K22"/>
    <mergeCell ref="L18:M18"/>
    <mergeCell ref="L19:M19"/>
    <mergeCell ref="J20:J21"/>
    <mergeCell ref="L20:M20"/>
    <mergeCell ref="L21:M21"/>
  </mergeCells>
  <pageMargins left="0.7" right="0.7" top="0.75" bottom="0.75" header="0.3" footer="0.3"/>
  <pageSetup paperSize="9" scale="84" orientation="landscape" r:id="rId1"/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tabSelected="1" zoomScaleNormal="100" workbookViewId="0">
      <selection activeCell="E14" sqref="E14"/>
    </sheetView>
  </sheetViews>
  <sheetFormatPr defaultRowHeight="15" x14ac:dyDescent="0.25"/>
  <cols>
    <col min="1" max="1" width="6.28515625" customWidth="1"/>
    <col min="2" max="2" width="22.7109375" customWidth="1"/>
    <col min="3" max="3" width="14.7109375" customWidth="1"/>
    <col min="4" max="4" width="6.85546875" customWidth="1"/>
    <col min="5" max="5" width="10.140625" bestFit="1" customWidth="1"/>
    <col min="6" max="6" width="11.85546875" customWidth="1"/>
    <col min="7" max="7" width="15.5703125" customWidth="1"/>
    <col min="8" max="8" width="12.85546875" customWidth="1"/>
    <col min="9" max="9" width="14.140625" customWidth="1"/>
    <col min="10" max="10" width="15.5703125" customWidth="1"/>
    <col min="11" max="11" width="17.140625" customWidth="1"/>
    <col min="12" max="12" width="17.5703125" customWidth="1"/>
    <col min="13" max="13" width="8.5703125" customWidth="1"/>
  </cols>
  <sheetData>
    <row r="1" spans="1:20" ht="18.75" x14ac:dyDescent="0.3">
      <c r="A1" s="456" t="s">
        <v>85</v>
      </c>
      <c r="B1" s="456"/>
      <c r="C1" s="456"/>
      <c r="D1" s="456"/>
      <c r="E1" s="456"/>
      <c r="F1" s="456"/>
      <c r="G1" s="456"/>
      <c r="H1" s="456"/>
      <c r="I1" s="456"/>
      <c r="J1" s="43"/>
      <c r="K1" s="338"/>
      <c r="L1" s="338"/>
      <c r="M1" s="338"/>
      <c r="N1" s="338"/>
      <c r="O1" s="338"/>
      <c r="P1" s="338"/>
      <c r="Q1" s="338"/>
      <c r="R1" s="338"/>
      <c r="S1" s="43"/>
      <c r="T1" s="43"/>
    </row>
    <row r="2" spans="1:20" ht="15" customHeight="1" thickBot="1" x14ac:dyDescent="0.3">
      <c r="K2" s="336"/>
      <c r="L2" s="336"/>
      <c r="M2" s="336"/>
      <c r="N2" s="336"/>
      <c r="O2" s="336"/>
      <c r="P2" s="336"/>
      <c r="Q2" s="336"/>
      <c r="R2" s="336"/>
    </row>
    <row r="3" spans="1:20" ht="35.25" customHeight="1" thickBot="1" x14ac:dyDescent="0.3">
      <c r="A3" s="1" t="s">
        <v>0</v>
      </c>
      <c r="B3" s="2" t="s">
        <v>1</v>
      </c>
      <c r="C3" s="2" t="s">
        <v>2</v>
      </c>
      <c r="D3" s="2" t="s">
        <v>55</v>
      </c>
      <c r="E3" s="2" t="s">
        <v>56</v>
      </c>
      <c r="F3" s="2" t="s">
        <v>57</v>
      </c>
      <c r="G3" s="2" t="s">
        <v>58</v>
      </c>
      <c r="H3" s="2" t="s">
        <v>83</v>
      </c>
      <c r="I3" s="277" t="s">
        <v>59</v>
      </c>
      <c r="K3" s="336"/>
      <c r="L3" s="336"/>
      <c r="M3" s="336"/>
      <c r="N3" s="336"/>
      <c r="O3" s="336"/>
      <c r="P3" s="336"/>
      <c r="Q3" s="336"/>
      <c r="R3" s="336"/>
    </row>
    <row r="4" spans="1:20" s="278" customFormat="1" ht="32.25" customHeight="1" x14ac:dyDescent="0.25">
      <c r="A4" s="282">
        <v>1</v>
      </c>
      <c r="B4" s="283" t="s">
        <v>84</v>
      </c>
      <c r="C4" s="18">
        <v>304</v>
      </c>
      <c r="D4" s="284">
        <v>200</v>
      </c>
      <c r="E4" s="284">
        <f>C4*D4</f>
        <v>60800</v>
      </c>
      <c r="F4" s="280"/>
      <c r="G4" s="285">
        <f>ROUND((E4*F4),2)</f>
        <v>0</v>
      </c>
      <c r="H4" s="343"/>
      <c r="I4" s="289">
        <f>ROUND(((G4*H4)+G4),2)</f>
        <v>0</v>
      </c>
      <c r="K4" s="339"/>
      <c r="L4" s="339"/>
      <c r="M4" s="339"/>
      <c r="N4" s="339"/>
      <c r="O4" s="339"/>
      <c r="P4" s="339"/>
      <c r="Q4" s="339"/>
      <c r="R4" s="339"/>
    </row>
    <row r="5" spans="1:20" s="288" customFormat="1" ht="30.75" customHeight="1" thickBot="1" x14ac:dyDescent="0.3">
      <c r="A5" s="457" t="s">
        <v>60</v>
      </c>
      <c r="B5" s="458"/>
      <c r="C5" s="290">
        <f>SUM(C4:C4)</f>
        <v>304</v>
      </c>
      <c r="D5" s="291"/>
      <c r="E5" s="290">
        <f>SUM(E4:E4)</f>
        <v>60800</v>
      </c>
      <c r="F5" s="292"/>
      <c r="G5" s="293">
        <f>SUM(G4:G4)</f>
        <v>0</v>
      </c>
      <c r="H5" s="293">
        <f>SUM(H4:H4)</f>
        <v>0</v>
      </c>
      <c r="I5" s="294">
        <f>SUM(I4:I4)</f>
        <v>0</v>
      </c>
      <c r="K5" s="340"/>
      <c r="L5" s="336"/>
      <c r="M5" s="340"/>
      <c r="N5" s="340"/>
      <c r="O5" s="340"/>
      <c r="P5" s="340"/>
      <c r="Q5" s="340"/>
      <c r="R5" s="340"/>
    </row>
    <row r="6" spans="1:20" x14ac:dyDescent="0.25">
      <c r="K6" s="336"/>
      <c r="L6" s="341">
        <f>DATEDIF("01.09.2022","01.01.2023","d")</f>
        <v>122</v>
      </c>
      <c r="M6" s="336">
        <v>2020</v>
      </c>
      <c r="N6" s="336"/>
      <c r="O6" s="336"/>
      <c r="P6" s="336"/>
      <c r="Q6" s="336"/>
      <c r="R6" s="336"/>
    </row>
    <row r="7" spans="1:20" x14ac:dyDescent="0.25">
      <c r="K7" s="336"/>
      <c r="L7" s="336"/>
      <c r="M7" s="336"/>
      <c r="N7" s="336"/>
      <c r="O7" s="336"/>
      <c r="P7" s="336"/>
      <c r="Q7" s="336"/>
      <c r="R7" s="336"/>
    </row>
    <row r="8" spans="1:20" x14ac:dyDescent="0.25">
      <c r="K8" s="336"/>
      <c r="L8" s="336"/>
      <c r="M8" s="336"/>
      <c r="N8" s="336"/>
      <c r="O8" s="336"/>
      <c r="P8" s="336"/>
      <c r="Q8" s="336"/>
      <c r="R8" s="336"/>
    </row>
    <row r="9" spans="1:20" x14ac:dyDescent="0.25">
      <c r="K9" s="336"/>
      <c r="L9" s="336"/>
      <c r="M9" s="336"/>
      <c r="N9" s="336"/>
      <c r="O9" s="336"/>
      <c r="P9" s="336"/>
      <c r="Q9" s="336"/>
      <c r="R9" s="336"/>
    </row>
    <row r="10" spans="1:20" x14ac:dyDescent="0.25">
      <c r="K10" s="336"/>
      <c r="L10" s="336"/>
      <c r="M10" s="336"/>
      <c r="N10" s="336"/>
      <c r="O10" s="336"/>
      <c r="P10" s="336"/>
      <c r="Q10" s="336"/>
      <c r="R10" s="336"/>
    </row>
    <row r="11" spans="1:20" x14ac:dyDescent="0.25">
      <c r="K11" s="336"/>
      <c r="L11" s="336"/>
      <c r="M11" s="336"/>
      <c r="N11" s="336" t="s">
        <v>80</v>
      </c>
      <c r="O11" s="336" t="s">
        <v>81</v>
      </c>
      <c r="P11" s="336" t="s">
        <v>82</v>
      </c>
      <c r="Q11" s="336"/>
      <c r="R11" s="336"/>
    </row>
    <row r="12" spans="1:20" x14ac:dyDescent="0.25">
      <c r="K12" s="336">
        <v>50</v>
      </c>
      <c r="L12" s="341">
        <f>DATEDIF("31.05.2022","04.06.2022","d")</f>
        <v>4</v>
      </c>
      <c r="M12" s="336">
        <f>L12*50</f>
        <v>200</v>
      </c>
      <c r="N12" s="342">
        <f>M12*45</f>
        <v>9000</v>
      </c>
      <c r="O12" s="337">
        <f>N12*0.08</f>
        <v>720</v>
      </c>
      <c r="P12" s="337">
        <f>N12+O12</f>
        <v>9720</v>
      </c>
      <c r="Q12" s="336"/>
      <c r="R12" s="336"/>
    </row>
    <row r="13" spans="1:20" x14ac:dyDescent="0.25">
      <c r="K13" s="336">
        <v>55</v>
      </c>
      <c r="L13" s="341">
        <f>DATEDIF("31.05.2022","07.06.2022","d")</f>
        <v>7</v>
      </c>
      <c r="M13" s="336">
        <f>K13*L13</f>
        <v>385</v>
      </c>
      <c r="N13" s="342">
        <f>M13*45</f>
        <v>17325</v>
      </c>
      <c r="O13" s="337">
        <f>N13*0.08</f>
        <v>1386</v>
      </c>
      <c r="P13" s="337">
        <f>N13+O13</f>
        <v>18711</v>
      </c>
      <c r="Q13" s="336"/>
      <c r="R13" s="336"/>
    </row>
    <row r="14" spans="1:20" x14ac:dyDescent="0.25">
      <c r="K14" s="336"/>
      <c r="L14" s="336"/>
      <c r="M14" s="336"/>
      <c r="N14" s="342">
        <f>SUM(N12:N13)</f>
        <v>26325</v>
      </c>
      <c r="O14" s="337">
        <f>SUM(O12:O13)</f>
        <v>2106</v>
      </c>
      <c r="P14" s="342">
        <f>SUM(P12:P13)</f>
        <v>28431</v>
      </c>
      <c r="Q14" s="336"/>
      <c r="R14" s="336"/>
    </row>
    <row r="15" spans="1:20" x14ac:dyDescent="0.25">
      <c r="K15" s="336"/>
      <c r="L15" s="336"/>
      <c r="M15" s="336"/>
      <c r="N15" s="336"/>
      <c r="O15" s="336"/>
      <c r="P15" s="336"/>
      <c r="Q15" s="336"/>
      <c r="R15" s="336"/>
    </row>
    <row r="16" spans="1:20" x14ac:dyDescent="0.25">
      <c r="K16" s="336"/>
      <c r="L16" s="336"/>
      <c r="M16" s="336"/>
      <c r="N16" s="336">
        <f>N14*0.08</f>
        <v>2106</v>
      </c>
      <c r="O16" s="336"/>
      <c r="P16" s="336"/>
      <c r="Q16" s="336"/>
      <c r="R16" s="336"/>
    </row>
    <row r="17" spans="11:18" x14ac:dyDescent="0.25">
      <c r="K17" s="336"/>
      <c r="L17" s="336"/>
      <c r="M17" s="336"/>
      <c r="N17" s="336"/>
      <c r="O17" s="336"/>
      <c r="P17" s="336"/>
      <c r="Q17" s="336"/>
      <c r="R17" s="336"/>
    </row>
    <row r="18" spans="11:18" x14ac:dyDescent="0.25">
      <c r="K18" s="336"/>
      <c r="L18" s="336"/>
      <c r="M18" s="336"/>
      <c r="N18" s="336"/>
      <c r="O18" s="336"/>
      <c r="P18" s="336"/>
      <c r="Q18" s="336"/>
      <c r="R18" s="336"/>
    </row>
    <row r="19" spans="11:18" x14ac:dyDescent="0.25">
      <c r="K19" s="336"/>
      <c r="L19" s="336"/>
      <c r="M19" s="336"/>
      <c r="N19" s="336"/>
      <c r="O19" s="336"/>
      <c r="P19" s="336"/>
      <c r="Q19" s="336"/>
      <c r="R19" s="336"/>
    </row>
    <row r="20" spans="11:18" x14ac:dyDescent="0.25">
      <c r="K20" s="336"/>
      <c r="L20" s="336"/>
      <c r="M20" s="336"/>
      <c r="N20" s="336"/>
      <c r="O20" s="336"/>
      <c r="P20" s="336"/>
      <c r="Q20" s="336"/>
      <c r="R20" s="336"/>
    </row>
    <row r="21" spans="11:18" x14ac:dyDescent="0.25">
      <c r="K21" s="336"/>
      <c r="L21" s="336"/>
      <c r="M21" s="336"/>
      <c r="N21" s="336"/>
      <c r="O21" s="336"/>
      <c r="P21" s="336"/>
      <c r="Q21" s="336"/>
      <c r="R21" s="336"/>
    </row>
    <row r="22" spans="11:18" x14ac:dyDescent="0.25">
      <c r="K22" s="336"/>
      <c r="L22" s="336"/>
      <c r="M22" s="336"/>
      <c r="N22" s="336"/>
      <c r="O22" s="336"/>
      <c r="P22" s="336"/>
      <c r="Q22" s="336"/>
      <c r="R22" s="336"/>
    </row>
    <row r="23" spans="11:18" x14ac:dyDescent="0.25">
      <c r="K23" s="336"/>
      <c r="L23" s="336"/>
      <c r="M23" s="336"/>
      <c r="N23" s="336"/>
      <c r="O23" s="336"/>
      <c r="P23" s="336"/>
      <c r="Q23" s="336"/>
      <c r="R23" s="336"/>
    </row>
  </sheetData>
  <mergeCells count="2">
    <mergeCell ref="A1:I1"/>
    <mergeCell ref="A5:B5"/>
  </mergeCells>
  <pageMargins left="0.7" right="0.7" top="0.75" bottom="0.75" header="0.3" footer="0.3"/>
  <pageSetup paperSize="9" scale="80" orientation="landscape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Arkusz1 (2)</vt:lpstr>
      <vt:lpstr>Arkusz do przetargu</vt:lpstr>
      <vt:lpstr>'Arkusz do przetargu'!Obszar_wydruku</vt:lpstr>
    </vt:vector>
  </TitlesOfParts>
  <Company>Akademia Wojsk Ladowych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Hanc Dorota</dc:creator>
  <cp:lastModifiedBy>Nazimek Renata</cp:lastModifiedBy>
  <cp:lastPrinted>2022-09-09T13:15:31Z</cp:lastPrinted>
  <dcterms:created xsi:type="dcterms:W3CDTF">2021-09-17T08:56:46Z</dcterms:created>
  <dcterms:modified xsi:type="dcterms:W3CDTF">2022-11-18T09:51:12Z</dcterms:modified>
</cp:coreProperties>
</file>