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ndex\2023\22_23 sprzedaż energii 2024 - 2025\"/>
    </mc:Choice>
  </mc:AlternateContent>
  <xr:revisionPtr revIDLastSave="0" documentId="13_ncr:1_{760E36F6-753F-4CFA-8511-4EC5B30E0049}" xr6:coauthVersionLast="47" xr6:coauthVersionMax="47" xr10:uidLastSave="{00000000-0000-0000-0000-000000000000}"/>
  <bookViews>
    <workbookView xWindow="-1284" yWindow="-17388" windowWidth="30936" windowHeight="16776" activeTab="2" xr2:uid="{00000000-000D-0000-FFFF-FFFF00000000}"/>
  </bookViews>
  <sheets>
    <sheet name="Gmina Miasto Stargard cz. I (a)" sheetId="1" r:id="rId1"/>
    <sheet name="Instytucje kultury cz. I (b)" sheetId="2" r:id="rId2"/>
    <sheet name="Oświetlenie cz. II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9" i="1" l="1"/>
  <c r="K40" i="1"/>
  <c r="K41" i="1"/>
  <c r="K42" i="1"/>
  <c r="K43" i="1"/>
  <c r="K39" i="1"/>
  <c r="L18" i="2"/>
  <c r="K18" i="2"/>
  <c r="K22" i="2"/>
  <c r="L136" i="3"/>
  <c r="L238" i="3"/>
  <c r="M237" i="3"/>
  <c r="L237" i="3"/>
  <c r="M222" i="3"/>
  <c r="L222" i="3"/>
  <c r="L216" i="3"/>
  <c r="L215" i="3"/>
  <c r="L214" i="3"/>
  <c r="L213" i="3"/>
  <c r="L212" i="3"/>
  <c r="L211" i="3"/>
  <c r="M210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M186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6" i="3"/>
  <c r="L165" i="3"/>
  <c r="L164" i="3"/>
  <c r="L163" i="3"/>
  <c r="L162" i="3"/>
  <c r="L161" i="3"/>
  <c r="M160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M143" i="3"/>
  <c r="L143" i="3"/>
  <c r="L142" i="3"/>
  <c r="L141" i="3"/>
  <c r="L140" i="3"/>
  <c r="L139" i="3"/>
  <c r="L138" i="3"/>
  <c r="L137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236" i="3" s="1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M101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M87" i="3"/>
  <c r="L87" i="3"/>
  <c r="L85" i="3"/>
  <c r="L84" i="3"/>
  <c r="L82" i="3"/>
  <c r="L81" i="3"/>
  <c r="M80" i="3"/>
  <c r="L80" i="3"/>
  <c r="L79" i="3"/>
  <c r="L78" i="3"/>
  <c r="L77" i="3"/>
  <c r="L76" i="3"/>
  <c r="L75" i="3"/>
  <c r="L74" i="3"/>
  <c r="M73" i="3"/>
  <c r="L73" i="3"/>
  <c r="L72" i="3"/>
  <c r="L71" i="3"/>
  <c r="L70" i="3"/>
  <c r="L69" i="3"/>
  <c r="L68" i="3"/>
  <c r="M67" i="3"/>
  <c r="L67" i="3"/>
  <c r="L66" i="3"/>
  <c r="M65" i="3"/>
  <c r="M239" i="3" s="1"/>
  <c r="L65" i="3"/>
  <c r="L63" i="3"/>
  <c r="L62" i="3"/>
  <c r="L61" i="3"/>
  <c r="L60" i="3"/>
  <c r="L59" i="3"/>
  <c r="L58" i="3"/>
  <c r="L57" i="3"/>
  <c r="L56" i="3"/>
  <c r="L55" i="3"/>
  <c r="L54" i="3"/>
  <c r="M53" i="3"/>
  <c r="M238" i="3" s="1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235" i="3" s="1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8" i="3"/>
  <c r="L17" i="3"/>
  <c r="L16" i="3"/>
  <c r="L15" i="3"/>
  <c r="L14" i="3"/>
  <c r="L13" i="3"/>
  <c r="L12" i="3"/>
  <c r="L11" i="3"/>
  <c r="L10" i="3"/>
  <c r="L9" i="3"/>
  <c r="L230" i="3" s="1"/>
  <c r="L8" i="3"/>
  <c r="L7" i="3"/>
  <c r="L6" i="3"/>
  <c r="K20" i="2"/>
  <c r="K19" i="2"/>
  <c r="L19" i="2"/>
  <c r="L20" i="2"/>
  <c r="K21" i="2"/>
  <c r="K44" i="1"/>
  <c r="L40" i="1"/>
  <c r="L44" i="1"/>
  <c r="L23" i="2" l="1"/>
  <c r="L239" i="3"/>
  <c r="L240" i="3" s="1"/>
  <c r="M230" i="3"/>
  <c r="O230" i="3" s="1"/>
  <c r="K23" i="2"/>
  <c r="M39" i="1"/>
  <c r="K45" i="1" s="1"/>
  <c r="K2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Tamara Rodźko</author>
  </authors>
  <commentList>
    <comment ref="J169" authorId="0" shapeId="0" xr:uid="{34B85F41-1A5A-4447-9586-9B50B9EA3DE4}">
      <text>
        <r>
          <rPr>
            <b/>
            <sz val="9"/>
            <color indexed="81"/>
            <rFont val="Tahoma"/>
            <family val="2"/>
            <charset val="238"/>
          </rPr>
          <t>Tamara Rodźko: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<sst xmlns="http://schemas.openxmlformats.org/spreadsheetml/2006/main" count="1655" uniqueCount="607">
  <si>
    <t>Lp.</t>
  </si>
  <si>
    <t>Termin umowy na sprzedaż</t>
  </si>
  <si>
    <t>Moc umowna z umowy i faktury</t>
  </si>
  <si>
    <t>Numer licznika</t>
  </si>
  <si>
    <t>NIP</t>
  </si>
  <si>
    <t>REGON</t>
  </si>
  <si>
    <t>C11</t>
  </si>
  <si>
    <t>C21</t>
  </si>
  <si>
    <t>C12a</t>
  </si>
  <si>
    <t>C22a</t>
  </si>
  <si>
    <t>B11</t>
  </si>
  <si>
    <t>000243441</t>
  </si>
  <si>
    <t>000238983</t>
  </si>
  <si>
    <t>000240201</t>
  </si>
  <si>
    <t>000241235</t>
  </si>
  <si>
    <t>000891950</t>
  </si>
  <si>
    <t>000561537</t>
  </si>
  <si>
    <t>810685175</t>
  </si>
  <si>
    <t>Nazwa jednostki - dostarczenie energii , umowa zawarta</t>
  </si>
  <si>
    <t xml:space="preserve">Grupa taryfowa faktura i umowa </t>
  </si>
  <si>
    <t>367995211</t>
  </si>
  <si>
    <t>812078396</t>
  </si>
  <si>
    <t>04942483</t>
  </si>
  <si>
    <t>367995228</t>
  </si>
  <si>
    <t>Zużycie Taryfa B11</t>
  </si>
  <si>
    <t>Zużycie Taryfa C21</t>
  </si>
  <si>
    <t>Zużycie Taryfa C11</t>
  </si>
  <si>
    <t>00702566400879</t>
  </si>
  <si>
    <t xml:space="preserve">Gmina Miasto Stargard - Szkoła Podstawowa Nr 2 z Oddziałami Integracyjnymi </t>
  </si>
  <si>
    <t>Osiedle Zachód A5</t>
  </si>
  <si>
    <t>73-110 Stargard</t>
  </si>
  <si>
    <t>811685734</t>
  </si>
  <si>
    <t>Rodzaj umowy - obecny dostawca</t>
  </si>
  <si>
    <t>RAZEM</t>
  </si>
  <si>
    <t>000285907</t>
  </si>
  <si>
    <t>0002861195</t>
  </si>
  <si>
    <t>810684158</t>
  </si>
  <si>
    <t>323.0015869</t>
  </si>
  <si>
    <t>60 kW</t>
  </si>
  <si>
    <t>27 kW</t>
  </si>
  <si>
    <t>4 kW</t>
  </si>
  <si>
    <t>14 kW</t>
  </si>
  <si>
    <t>15 kW</t>
  </si>
  <si>
    <t>49 kW</t>
  </si>
  <si>
    <t>22 kW</t>
  </si>
  <si>
    <t>61 kW</t>
  </si>
  <si>
    <t>11 kW</t>
  </si>
  <si>
    <t>52 kW</t>
  </si>
  <si>
    <t>45 kW</t>
  </si>
  <si>
    <t>7 kW</t>
  </si>
  <si>
    <t>68 kW</t>
  </si>
  <si>
    <t>41 kW</t>
  </si>
  <si>
    <t>38 kW</t>
  </si>
  <si>
    <r>
      <t>Zużycie Taryfa C12b szczyt /</t>
    </r>
    <r>
      <rPr>
        <sz val="9"/>
        <color indexed="10"/>
        <rFont val="Arial"/>
        <family val="2"/>
        <charset val="238"/>
      </rPr>
      <t xml:space="preserve"> pozaszczyt</t>
    </r>
  </si>
  <si>
    <r>
      <t>Zużycie Taryfa C12a szczyt /</t>
    </r>
    <r>
      <rPr>
        <sz val="9"/>
        <color indexed="10"/>
        <rFont val="Arial"/>
        <family val="2"/>
        <charset val="238"/>
      </rPr>
      <t xml:space="preserve"> pozaszczyt</t>
    </r>
  </si>
  <si>
    <r>
      <t>Zużycie Taryfa C22a szczyt/</t>
    </r>
    <r>
      <rPr>
        <sz val="9"/>
        <color indexed="10"/>
        <rFont val="Arial"/>
        <family val="2"/>
        <charset val="238"/>
      </rPr>
      <t>pozaszczyt</t>
    </r>
  </si>
  <si>
    <t>C12b</t>
  </si>
  <si>
    <t>Książnica Stargardzka ul. Pogodna 16U/1, 73-110 Stargard</t>
  </si>
  <si>
    <t>Książnica Stargardzka ul. Mieszka I nr 1, 73-110 Stargard</t>
  </si>
  <si>
    <t>Książnica Stargardzka ul. Tańskiego 6e/9, 73-110 Stargard</t>
  </si>
  <si>
    <t>Stargardzkie Centrum Kultury ul. Piłsudskiego 105, 73-110 Stargard</t>
  </si>
  <si>
    <t>Stargardzkie Centrum Kultury Teatr Letni Park Chrobrego Amfiteatr, 73-110 Stargard</t>
  </si>
  <si>
    <t>Stargardzkie Centrum Kultury Amfiteatr Park Chrobrego - Teatr Letni, 73-110 Stargard</t>
  </si>
  <si>
    <t>Gmina Miasto Stargard - Szkoła Podstawowa Nr 1 ul.Sienkiewicza 8, 73-110 Stargard</t>
  </si>
  <si>
    <t>Gmina Miasto Stargard - Szkoła Podstawowa Nr 4 ul. Wielkopolska 30, 73-110 Stargard</t>
  </si>
  <si>
    <t>Gmina Miasto Stargard - Szkoła Podstawowa Nr 5 ul. Kuśnierzy 7, 73-110 Stargard</t>
  </si>
  <si>
    <t>Gmina Miasto Stargard - Zespół Szkolno-Przedszkolny nr 1 ul. Ar. Krajowej 1, 73-110 Stargard</t>
  </si>
  <si>
    <t>Gmina Miasto Stargard - Szkoła Podstawowa Nr 7 Plac Majdanek 13, 73-110 Stargard</t>
  </si>
  <si>
    <t>Gmina Miasto Stargard - Szkoła Podstawowa Nr 10 ul. Szkolna 2, 73-110 Stargard</t>
  </si>
  <si>
    <t>Gmina Miasto Stargard - Szkoła Podstawowa Nr 11 - basen Os. Zachód B/15, 73-110 Stargard</t>
  </si>
  <si>
    <t>Gmina Miasto Stargard - Przedszkole Miejskie Nr 1 ul. Spichrzowa 6, 73-110 Stargard</t>
  </si>
  <si>
    <t>Gmina Miasto Stargard - Przedszkole Miejskie Nr 2 ul. Mieszka I-go 2, 73-110 Stargard</t>
  </si>
  <si>
    <t>Gmina Miasto Stargard - Przedszkole Miejskie Nr 3 Os. Zachód A18, 73-110 Stargard</t>
  </si>
  <si>
    <t>Gmina Miasto Stargard - Przedszkole Miejskie Nr 5 ul. Lechicka 11, 73-110 Stargard</t>
  </si>
  <si>
    <t>Gmina Miasto Stargard - Przedszkole Miejskie Nr 6 ul. Niewiadomskiego 14, 73-110 Stargard</t>
  </si>
  <si>
    <t>Gmina Miasto Stargard - Żłobek Miejski Leśna Polana ul. Krasińskiego 5, 73-110 Stargard</t>
  </si>
  <si>
    <t>Gmina Miasto Stargard - Żłobek Miejski Leśna Polana Osiedle Zachód A4, 73-110 Stargard</t>
  </si>
  <si>
    <t>Gmina Miasto Stargard - Młodzieżowy Dom Kultury ul. Portowa 3, 73-110 Stargard</t>
  </si>
  <si>
    <t>Miejski Ośrodek Pomocy Społecznej ul. Warszawska 9A, 73-110 Stargard</t>
  </si>
  <si>
    <t xml:space="preserve">Gmina Miasto Stargard - Urząd Miejski ul. Czarnieckiego 17, 73-110 Stargard             </t>
  </si>
  <si>
    <t>Gmina Miasto Stargard - Ratusz - Rynek Staromiejski 1, 73-110 Stargard</t>
  </si>
  <si>
    <t>Towarzystwo Opieki nad Zwierzętami w Polsce O/Kiczarowo - Schronisko zwierząt Kiczarowo 29, 73-110 Stargard</t>
  </si>
  <si>
    <t>Gmina Miasto Stargard - Młodzieżowy Dom Kultury - Morzyczyn, 73-108 Morzyczyn</t>
  </si>
  <si>
    <t>sprzedaż ENEA S.A.</t>
  </si>
  <si>
    <t>do 31.12.2023</t>
  </si>
  <si>
    <t>590310600000659040</t>
  </si>
  <si>
    <t>Szacunkowe zużycie energii 24 miesięcy [MWh] szczytowa</t>
  </si>
  <si>
    <t>Szacunkowe zużycie energii 24 miesięcy [MWh] pozaszczytowa</t>
  </si>
  <si>
    <t>590310600000519771</t>
  </si>
  <si>
    <t>590310600000695352</t>
  </si>
  <si>
    <t>590310600000705327</t>
  </si>
  <si>
    <t>590310600000600004</t>
  </si>
  <si>
    <t>Gmina Miasto Stargard - Zespół Szkół w Stargardzie, ul. Popiela 2, 73-110 Stargard</t>
  </si>
  <si>
    <t>590310600000714763</t>
  </si>
  <si>
    <t>590310600000651150</t>
  </si>
  <si>
    <t>590310600001162495</t>
  </si>
  <si>
    <t>590310600001159198</t>
  </si>
  <si>
    <t xml:space="preserve"> 590310600000744128</t>
  </si>
  <si>
    <t>590310600000620385</t>
  </si>
  <si>
    <t>590310600000811752</t>
  </si>
  <si>
    <t>Gmina Miasto Stargard - Szkoła Podstawowa Nr 3 z Oddziałami Mistrzostwa Sportowego ul. Limanowskiego 9, 73-110 Stargard</t>
  </si>
  <si>
    <t>590310600000705334</t>
  </si>
  <si>
    <t>Gmina Miasto Stargard - Szkoła Podstawowa Nr 3 z Oddziałami Mistrzostwa Sportowego ul. Limanowskiego 7, 73-110 Stargard</t>
  </si>
  <si>
    <t>590310600000599896</t>
  </si>
  <si>
    <t>590310600000724601</t>
  </si>
  <si>
    <t>WYKAZ PUNKTÓW POBORU ENERGII ELEKTRYCZNEJ - JEDNOSTKI ORGANIZACYJNE GMINY MIASTO STARGARD na lata 2024 - 2025</t>
  </si>
  <si>
    <t>590310600000705341</t>
  </si>
  <si>
    <t>590310600000671967</t>
  </si>
  <si>
    <t>590310600000671974</t>
  </si>
  <si>
    <t>590310600000601056</t>
  </si>
  <si>
    <t>Gmina Miasto Stargard - Przedszkole Miejskie Nr 4 im. Jana Brzechwy, Os. Zachód B2, 73-110 Stargard</t>
  </si>
  <si>
    <t>590310600007571956</t>
  </si>
  <si>
    <t>590310600000811745</t>
  </si>
  <si>
    <t>Gmina Miasto Stargard - Szkoła Podstawowa Nr 8 ul. Traugutta 16, 73-102 Stargard</t>
  </si>
  <si>
    <t>590310600000709370</t>
  </si>
  <si>
    <t>590310600000797957</t>
  </si>
  <si>
    <t>590310600000599872</t>
  </si>
  <si>
    <t>590310600000744135</t>
  </si>
  <si>
    <t>590310600000606143</t>
  </si>
  <si>
    <t>590310600007643431</t>
  </si>
  <si>
    <t>590310600000744166</t>
  </si>
  <si>
    <t>590310600000811721</t>
  </si>
  <si>
    <t>590310600000705310</t>
  </si>
  <si>
    <t>590310600000659033</t>
  </si>
  <si>
    <t>590310600000657312</t>
  </si>
  <si>
    <t>Szacunkowe zużycie za 24 miesięcy</t>
  </si>
  <si>
    <t>590310600000714640</t>
  </si>
  <si>
    <t>590310600000659026</t>
  </si>
  <si>
    <t>590310600026084475</t>
  </si>
  <si>
    <t>590310600005934814</t>
  </si>
  <si>
    <t>590310600001448247</t>
  </si>
  <si>
    <t>590310600000657220</t>
  </si>
  <si>
    <t>590310600001367678</t>
  </si>
  <si>
    <t>590310600000658708</t>
  </si>
  <si>
    <t>590310600000739636</t>
  </si>
  <si>
    <t>590310600007380190</t>
  </si>
  <si>
    <t>Szacunkowe zużycie energii 24 miesięcy [MWh]</t>
  </si>
  <si>
    <t>PPE</t>
  </si>
  <si>
    <t>Muzeum Archeologiczno-Historyczne Brama Pyrzycka ul. Mieszka I 1, 73-110 Stargard</t>
  </si>
  <si>
    <t>Muzeum Archeologiczno-Historyczne -  Basteja, Park Piastowski 1, ul. Sukiennicza, 73-110 Stargard</t>
  </si>
  <si>
    <t>Muzeum Archeologiczno-Historyczne, Rynek Staromiejski 2-4, 73-110 Stargard</t>
  </si>
  <si>
    <t>WYKAZ PUNKTÓW POBORU ENERGII ELEKTRYCZNEJ - SAMORZADOWE INSTYTUCJE KULTURY - na lata 2024 - 2025</t>
  </si>
  <si>
    <t>VEOLIA S.A.</t>
  </si>
  <si>
    <t xml:space="preserve">SZCZEGÓŁOWY WYKAZ PUNKTÓW POBORU ENERGII ELEKTRYCZNEJ  OŚWIETLENIIA ULICZNE I PARKOWE, SYGNALIZACJA </t>
  </si>
  <si>
    <t>do ujęcia w umowie na lata 2024-2025</t>
  </si>
  <si>
    <t>Lp</t>
  </si>
  <si>
    <t>Lokalizacja</t>
  </si>
  <si>
    <t>Umowa zawarta - obecny dostawca</t>
  </si>
  <si>
    <t xml:space="preserve">Rodzaj umowy </t>
  </si>
  <si>
    <t>Termin obowiązywania umowy</t>
  </si>
  <si>
    <t>Grupa taryfowa w umowie i fakturze</t>
  </si>
  <si>
    <t>Moc z umowy 
i faktury</t>
  </si>
  <si>
    <t xml:space="preserve">Numer licznika </t>
  </si>
  <si>
    <t>Szacunkowe zużycie 24 m-ce  MWh</t>
  </si>
  <si>
    <t>Szacunkowe zużycie energii 24 m-e [MWh] pozaszczytowa</t>
  </si>
  <si>
    <t xml:space="preserve"> Aleja Dębowa/Orkana</t>
  </si>
  <si>
    <t>sprzedaż energii</t>
  </si>
  <si>
    <t>01.01.2022 31.12.2023</t>
  </si>
  <si>
    <t>C11o</t>
  </si>
  <si>
    <t>590310600000694720</t>
  </si>
  <si>
    <t>Aleja Dębowa</t>
  </si>
  <si>
    <t>590310600002376372</t>
  </si>
  <si>
    <t>Aleja Spacerowa</t>
  </si>
  <si>
    <t>590310600028591001</t>
  </si>
  <si>
    <t>Aleja Żołnierza</t>
  </si>
  <si>
    <t>590310600028731063</t>
  </si>
  <si>
    <t>Aleja Żołnierza trafo B/6</t>
  </si>
  <si>
    <t>590310600000773692</t>
  </si>
  <si>
    <t>Aleja Żołnierzap/Kasynie</t>
  </si>
  <si>
    <t>590310600000652447</t>
  </si>
  <si>
    <t>Andersa przy bunkrze</t>
  </si>
  <si>
    <t>590310600000703163</t>
  </si>
  <si>
    <t>Andersa 1</t>
  </si>
  <si>
    <t>590310600007563548</t>
  </si>
  <si>
    <t>Armii Krajowej / Staffa</t>
  </si>
  <si>
    <t>590310600000652577</t>
  </si>
  <si>
    <t>Armii Krajowej</t>
  </si>
  <si>
    <t>590310600000681690</t>
  </si>
  <si>
    <t>Baczyńskiego</t>
  </si>
  <si>
    <t>590310600000618542</t>
  </si>
  <si>
    <t>Basztowa parking</t>
  </si>
  <si>
    <t>590310600005893708</t>
  </si>
  <si>
    <t>Bogusława IV</t>
  </si>
  <si>
    <t>590310600000618467</t>
  </si>
  <si>
    <t>Bolesława Krzywoustego 12</t>
  </si>
  <si>
    <t>590310600030308192</t>
  </si>
  <si>
    <t>Broniewskiego / Iwaszkiewicza</t>
  </si>
  <si>
    <t>590310600000681683</t>
  </si>
  <si>
    <t xml:space="preserve">Broniewskiego </t>
  </si>
  <si>
    <t>590310600000681966</t>
  </si>
  <si>
    <t>Broniewskiego dz. 67/7</t>
  </si>
  <si>
    <t>590310600029775783</t>
  </si>
  <si>
    <t>Broniewskiego dz. 23/3  cukrownia</t>
  </si>
  <si>
    <t>590310600029163931</t>
  </si>
  <si>
    <t>Broniewskiego-Kruczkowskiego 5</t>
  </si>
  <si>
    <t>590310600025763982</t>
  </si>
  <si>
    <t>Brzozowa trafo</t>
  </si>
  <si>
    <t>590310600000683854</t>
  </si>
  <si>
    <t>Brzozowa/Polna</t>
  </si>
  <si>
    <t>590310600000673510</t>
  </si>
  <si>
    <t>Bydgoska - róg Rzemieślniczej</t>
  </si>
  <si>
    <t xml:space="preserve"> sprzedaż energii</t>
  </si>
  <si>
    <t>590310600000654632</t>
  </si>
  <si>
    <t>Bydgoska - most</t>
  </si>
  <si>
    <t>590310600000654649</t>
  </si>
  <si>
    <t>590310600007611324</t>
  </si>
  <si>
    <t>Ceglana 1 Brygad.</t>
  </si>
  <si>
    <t>590310600000684813</t>
  </si>
  <si>
    <t>Ceglana 1 traf/kotł.</t>
  </si>
  <si>
    <t>590310600000657985</t>
  </si>
  <si>
    <t>Ceglana/Składowa</t>
  </si>
  <si>
    <t>590310600000657978</t>
  </si>
  <si>
    <t>Chełmońskiego</t>
  </si>
  <si>
    <t>03486491</t>
  </si>
  <si>
    <t>590310600028605494</t>
  </si>
  <si>
    <t>Chopina 2</t>
  </si>
  <si>
    <t>590310600000618603</t>
  </si>
  <si>
    <t>Chopina 31 szafa TRA</t>
  </si>
  <si>
    <t>590310600000773715</t>
  </si>
  <si>
    <t>Chrobrego S.kiosk</t>
  </si>
  <si>
    <t>590310600000618498</t>
  </si>
  <si>
    <t>Chrobrego P.Baszt.</t>
  </si>
  <si>
    <t>590310600000773678</t>
  </si>
  <si>
    <t>Chrobrego</t>
  </si>
  <si>
    <t>Chrobrego Brama Wałowa ilumin.</t>
  </si>
  <si>
    <t>590310600002379656</t>
  </si>
  <si>
    <t>Chrobrego wiadukt</t>
  </si>
  <si>
    <t>590310600000652393</t>
  </si>
  <si>
    <t>Chrobrego - sygnalizacja uliczna</t>
  </si>
  <si>
    <t>590310600001762411</t>
  </si>
  <si>
    <t>Cieplna</t>
  </si>
  <si>
    <t>590310600000652607</t>
  </si>
  <si>
    <t>Czarnieckiego 8</t>
  </si>
  <si>
    <t>590310600000652515</t>
  </si>
  <si>
    <t>Czarnieckiego  Pl.Świetego Ducha</t>
  </si>
  <si>
    <t>590310600000618474</t>
  </si>
  <si>
    <t>Czarnieckiego</t>
  </si>
  <si>
    <t>590310600000705822</t>
  </si>
  <si>
    <t>Czeska 6</t>
  </si>
  <si>
    <t>590310600000694522</t>
  </si>
  <si>
    <t>Dąbrowskiego</t>
  </si>
  <si>
    <t>590310600007595341</t>
  </si>
  <si>
    <t>Drzewieckiego</t>
  </si>
  <si>
    <t>590310600000654663</t>
  </si>
  <si>
    <t>Drzymały dz. 174</t>
  </si>
  <si>
    <t>590310600029163894</t>
  </si>
  <si>
    <t>Drzymały - most</t>
  </si>
  <si>
    <t>590310600000618580</t>
  </si>
  <si>
    <t>Drzymały S.TR</t>
  </si>
  <si>
    <t>590310600000703149</t>
  </si>
  <si>
    <t>Fabryczna</t>
  </si>
  <si>
    <t>590310600002052412</t>
  </si>
  <si>
    <t>Fabryczna - przepompownia</t>
  </si>
  <si>
    <t>B12</t>
  </si>
  <si>
    <t>04942524</t>
  </si>
  <si>
    <t>590310600000798664</t>
  </si>
  <si>
    <t>Gałczyńskiego 24</t>
  </si>
  <si>
    <t>590310600000704528</t>
  </si>
  <si>
    <t>Garncarska</t>
  </si>
  <si>
    <t>590310600000652478</t>
  </si>
  <si>
    <t>Gdańska - Klonowa</t>
  </si>
  <si>
    <t>590310600000618566</t>
  </si>
  <si>
    <t>Gdańska - Grunwaldzka</t>
  </si>
  <si>
    <t>590310600000618559</t>
  </si>
  <si>
    <t>Gdańska/Kilińskiego</t>
  </si>
  <si>
    <t>590310600000694546</t>
  </si>
  <si>
    <t>Główna</t>
  </si>
  <si>
    <t>590310600000683823</t>
  </si>
  <si>
    <t xml:space="preserve">Grodzka </t>
  </si>
  <si>
    <t>590310600002379687</t>
  </si>
  <si>
    <t>Gryfa r.Kosciuszki</t>
  </si>
  <si>
    <t>590310600000703125</t>
  </si>
  <si>
    <t>Grudziądzka</t>
  </si>
  <si>
    <t>590310600001367654</t>
  </si>
  <si>
    <t>Św. Jana Chrzciciela I - iluminacja</t>
  </si>
  <si>
    <t>590310600000652652</t>
  </si>
  <si>
    <t>Jana Śniadeckiego nr działki dz, 131/1</t>
  </si>
  <si>
    <t>590310600030396069</t>
  </si>
  <si>
    <t>Kard. Stefana Wyszyńskiego syg.</t>
  </si>
  <si>
    <t xml:space="preserve"> 590310600029333471</t>
  </si>
  <si>
    <t>Kazimierza Wielkiego parking</t>
  </si>
  <si>
    <t>590310600002227223</t>
  </si>
  <si>
    <t>Kazimierza Wielkiego sygnalizacja</t>
  </si>
  <si>
    <t>590310600000996558</t>
  </si>
  <si>
    <t>Kochanowskiego</t>
  </si>
  <si>
    <t>590310600000618597</t>
  </si>
  <si>
    <t>Klasztorna</t>
  </si>
  <si>
    <t>590310600002379694</t>
  </si>
  <si>
    <t>Konarskiego</t>
  </si>
  <si>
    <t>590310600000773630</t>
  </si>
  <si>
    <t>Kosmonautów 17</t>
  </si>
  <si>
    <t>590310600000681980</t>
  </si>
  <si>
    <t>Kościuszki R/Szkol.</t>
  </si>
  <si>
    <t>590310600000773708</t>
  </si>
  <si>
    <t>Kościuszki sygnalizacja</t>
  </si>
  <si>
    <t>590310600025685482</t>
  </si>
  <si>
    <t>Królowej Jadwigi od.parku</t>
  </si>
  <si>
    <t>590310600000704382</t>
  </si>
  <si>
    <t>Kuśnierzy p Garaz</t>
  </si>
  <si>
    <t>590310600000694683</t>
  </si>
  <si>
    <t>Kwiatowa 13</t>
  </si>
  <si>
    <t>590310600007556052</t>
  </si>
  <si>
    <t>Lechonia</t>
  </si>
  <si>
    <t>590310600000624710</t>
  </si>
  <si>
    <t>Leśmiana</t>
  </si>
  <si>
    <t>590310600002379717</t>
  </si>
  <si>
    <t xml:space="preserve">Lotników </t>
  </si>
  <si>
    <t>590310600000652409</t>
  </si>
  <si>
    <t>Lotników tłocznia</t>
  </si>
  <si>
    <t>590310600002813754</t>
  </si>
  <si>
    <t>590310600000642912</t>
  </si>
  <si>
    <t>Łabędzia</t>
  </si>
  <si>
    <t>590310600000652560</t>
  </si>
  <si>
    <t>Marii Skłodowskiej-Curie, obr.13 dz. 268/2</t>
  </si>
  <si>
    <t>590310600030005572</t>
  </si>
  <si>
    <t>Mazurska</t>
  </si>
  <si>
    <t>590310600000477378</t>
  </si>
  <si>
    <t>Metalowa dz. 96/18</t>
  </si>
  <si>
    <t>590310600028789453</t>
  </si>
  <si>
    <t>Metalowa nr działki 201/4</t>
  </si>
  <si>
    <t>590310600030237683</t>
  </si>
  <si>
    <t>Metalowa Kluczewo</t>
  </si>
  <si>
    <t>590310600002513739</t>
  </si>
  <si>
    <t>Mieszka I trafostacja</t>
  </si>
  <si>
    <t>590310600000618504</t>
  </si>
  <si>
    <t>Moniuszki  pętla MZK</t>
  </si>
  <si>
    <t>590310600000705853</t>
  </si>
  <si>
    <t>Na Grobli</t>
  </si>
  <si>
    <t>590310600000654625</t>
  </si>
  <si>
    <t>Nałkowskiej</t>
  </si>
  <si>
    <t>590310600000694577</t>
  </si>
  <si>
    <t>Nasienna</t>
  </si>
  <si>
    <t>590310600000652584</t>
  </si>
  <si>
    <t>Niemcewicza</t>
  </si>
  <si>
    <t>590310600000652379</t>
  </si>
  <si>
    <t>Niepodległości/Słonimskiego</t>
  </si>
  <si>
    <t>590310600000704795</t>
  </si>
  <si>
    <t>Norwida</t>
  </si>
  <si>
    <t>590310600000652553</t>
  </si>
  <si>
    <t>Norwida - Niepodległości 53D</t>
  </si>
  <si>
    <t>590310600012259092</t>
  </si>
  <si>
    <t>Noskowskiego</t>
  </si>
  <si>
    <t>590310600000681607</t>
  </si>
  <si>
    <t xml:space="preserve">Nowowiejska </t>
  </si>
  <si>
    <t>59031600029041437</t>
  </si>
  <si>
    <t>Nowowiejska za torem</t>
  </si>
  <si>
    <t>590310600000773685</t>
  </si>
  <si>
    <t>Obrońców Westerplatte 7</t>
  </si>
  <si>
    <t>590310600000773661</t>
  </si>
  <si>
    <t>Obrońców Westerplatte sygnalizacja</t>
  </si>
  <si>
    <t>590310600006533290</t>
  </si>
  <si>
    <t>Ochronna</t>
  </si>
  <si>
    <t>590310600028701103</t>
  </si>
  <si>
    <t>590310600000683328</t>
  </si>
  <si>
    <t>Ogrodowa</t>
  </si>
  <si>
    <t>590310600000654618</t>
  </si>
  <si>
    <t>Okrężna 1</t>
  </si>
  <si>
    <t>590310600000694607</t>
  </si>
  <si>
    <t>Okulickiego</t>
  </si>
  <si>
    <t>590310600000969422</t>
  </si>
  <si>
    <t>Okrzei 9</t>
  </si>
  <si>
    <t>590310600000673541</t>
  </si>
  <si>
    <t>Orzeszkowej</t>
  </si>
  <si>
    <t>590310600000694621</t>
  </si>
  <si>
    <t>Osiedle 1000 Lecia</t>
  </si>
  <si>
    <t>590310600000652454</t>
  </si>
  <si>
    <t>590310600000652386</t>
  </si>
  <si>
    <t>Osiedle Zachód B 10 - szczyt/blo</t>
  </si>
  <si>
    <t>590310600007563883</t>
  </si>
  <si>
    <t>Osiedle Zachód B przy A21</t>
  </si>
  <si>
    <t>590310600000624734</t>
  </si>
  <si>
    <t>Osiedle Zachód B11</t>
  </si>
  <si>
    <t>590310600000645340</t>
  </si>
  <si>
    <t>Osiedle Zachód B22</t>
  </si>
  <si>
    <t>590310600000645357</t>
  </si>
  <si>
    <t>Osiedle Zachód A9</t>
  </si>
  <si>
    <t>590310600000645364</t>
  </si>
  <si>
    <t>Osiedle Zachód fontanna</t>
  </si>
  <si>
    <t>590310600028295503</t>
  </si>
  <si>
    <t>590310600029283455</t>
  </si>
  <si>
    <t>Park Chrobrego - stały punkt</t>
  </si>
  <si>
    <t>590310600002690522</t>
  </si>
  <si>
    <t>Park Chrobrego</t>
  </si>
  <si>
    <t>590310600000654342</t>
  </si>
  <si>
    <t>Park Chrobrego fontanna</t>
  </si>
  <si>
    <t>590310600002379663</t>
  </si>
  <si>
    <t>Park Podworski</t>
  </si>
  <si>
    <t>590310600001787711</t>
  </si>
  <si>
    <t>Straznicza - Park Popiela</t>
  </si>
  <si>
    <t>590310600001569508</t>
  </si>
  <si>
    <t>Park Stefana Batorego</t>
  </si>
  <si>
    <t>590310600000653956</t>
  </si>
  <si>
    <t>Park Zamkowy</t>
  </si>
  <si>
    <t>590310600002348614</t>
  </si>
  <si>
    <t>Piłsudskiego</t>
  </si>
  <si>
    <t>590310600000624666</t>
  </si>
  <si>
    <t>590310600000809551</t>
  </si>
  <si>
    <t>590310600000683380</t>
  </si>
  <si>
    <t>Piłsudskiego przy bud. 39</t>
  </si>
  <si>
    <t>590310600002379632</t>
  </si>
  <si>
    <t>Plac Słoneczny</t>
  </si>
  <si>
    <t>590310600000657121</t>
  </si>
  <si>
    <t>590310600000703118</t>
  </si>
  <si>
    <t>Plac Zgody</t>
  </si>
  <si>
    <t>590310600007580040</t>
  </si>
  <si>
    <t>Plac Majdanek 11</t>
  </si>
  <si>
    <t>590310600000773647</t>
  </si>
  <si>
    <t>Płatnerzy</t>
  </si>
  <si>
    <t>590310600029177914</t>
  </si>
  <si>
    <t>Podchorążych</t>
  </si>
  <si>
    <t>590310600000682024</t>
  </si>
  <si>
    <t>Podleśna</t>
  </si>
  <si>
    <t>590310600000624673</t>
  </si>
  <si>
    <t>Podmiejska 9</t>
  </si>
  <si>
    <t>590310600000683335</t>
  </si>
  <si>
    <t>Poetów</t>
  </si>
  <si>
    <t>590310600000652546</t>
  </si>
  <si>
    <t>Pogodna</t>
  </si>
  <si>
    <t>590310600000624703</t>
  </si>
  <si>
    <t>Pogodna trafo</t>
  </si>
  <si>
    <t>590310600000704924</t>
  </si>
  <si>
    <t>Pogodna hydrof.</t>
  </si>
  <si>
    <t>590310600000704931</t>
  </si>
  <si>
    <t>Polska Dz. 336</t>
  </si>
  <si>
    <t>590310600002376389</t>
  </si>
  <si>
    <t>Popiela - sygnalizacja świetlna</t>
  </si>
  <si>
    <t>590310600000807687</t>
  </si>
  <si>
    <t>Popiela/Krzywoustego</t>
  </si>
  <si>
    <t>590310600000618511</t>
  </si>
  <si>
    <t>Portowa 6</t>
  </si>
  <si>
    <t>590310600000654601</t>
  </si>
  <si>
    <t>Portowa 3</t>
  </si>
  <si>
    <t>5903106000012214237</t>
  </si>
  <si>
    <t>Powstańców Warszawy</t>
  </si>
  <si>
    <t>590310600000694799</t>
  </si>
  <si>
    <t>Powstańców Warszawy 6</t>
  </si>
  <si>
    <t>590310600000624727</t>
  </si>
  <si>
    <t>Prusa</t>
  </si>
  <si>
    <t>590310600002379724</t>
  </si>
  <si>
    <t>Prezydentów RP</t>
  </si>
  <si>
    <t>590310600006325109</t>
  </si>
  <si>
    <t>Przedwiośnie</t>
  </si>
  <si>
    <t>590310600000681942</t>
  </si>
  <si>
    <t>Przybosia trafo</t>
  </si>
  <si>
    <t>590310600000683830</t>
  </si>
  <si>
    <t>Racławicka</t>
  </si>
  <si>
    <t>590310600007371617</t>
  </si>
  <si>
    <t>Reja - parking</t>
  </si>
  <si>
    <t>590310600000667694</t>
  </si>
  <si>
    <t>Reja - targowisko</t>
  </si>
  <si>
    <t>590310600000652508</t>
  </si>
  <si>
    <t>Reymonta - cmentarz</t>
  </si>
  <si>
    <t>590310600000952622</t>
  </si>
  <si>
    <t>Reymonta - obok Lasów Państwowych</t>
  </si>
  <si>
    <t>590310600000809544</t>
  </si>
  <si>
    <t>Reymonta</t>
  </si>
  <si>
    <t>590310600000683410</t>
  </si>
  <si>
    <t>Robotnicza dz. 145/5</t>
  </si>
  <si>
    <t>590310600028605517</t>
  </si>
  <si>
    <t xml:space="preserve">Rondo Golczewo </t>
  </si>
  <si>
    <t>590310600007619672</t>
  </si>
  <si>
    <t>Różana</t>
  </si>
  <si>
    <t>590310600000652522</t>
  </si>
  <si>
    <t>Rzeźnicza - sklep</t>
  </si>
  <si>
    <t>590310600000704894</t>
  </si>
  <si>
    <t>Rynek Staromiejski</t>
  </si>
  <si>
    <t>590310600000652492</t>
  </si>
  <si>
    <t xml:space="preserve">Rynek Staromiejski </t>
  </si>
  <si>
    <t>590310600000624697</t>
  </si>
  <si>
    <t>Sadowa 2 TRA</t>
  </si>
  <si>
    <t xml:space="preserve"> 590310600000652423</t>
  </si>
  <si>
    <t>Sadowa 1 st. słup.</t>
  </si>
  <si>
    <t>590310600000652416</t>
  </si>
  <si>
    <t>Sadowa nr działki 44</t>
  </si>
  <si>
    <t>590310600030356865</t>
  </si>
  <si>
    <t>Sikorskiego</t>
  </si>
  <si>
    <t>590310600000681997</t>
  </si>
  <si>
    <t>590310600000703132</t>
  </si>
  <si>
    <t>Sienkiewicza p/szkole 10</t>
  </si>
  <si>
    <t>590310600000809520</t>
  </si>
  <si>
    <t>Skandynawska dz. 285/1</t>
  </si>
  <si>
    <t>590310600028734446</t>
  </si>
  <si>
    <t>Skarbowa</t>
  </si>
  <si>
    <t>590310600000681614</t>
  </si>
  <si>
    <t>Skarbowa - parking</t>
  </si>
  <si>
    <t>590310600007627332</t>
  </si>
  <si>
    <t>Skwer Jana Pawła II - iluminacja</t>
  </si>
  <si>
    <t>590310600000652461</t>
  </si>
  <si>
    <t>Słowacka</t>
  </si>
  <si>
    <r>
      <t xml:space="preserve">sprzedaż </t>
    </r>
    <r>
      <rPr>
        <b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>nergii</t>
    </r>
  </si>
  <si>
    <t>590310600002348607</t>
  </si>
  <si>
    <t>Słowackiego 13</t>
  </si>
  <si>
    <t>590310600000652591</t>
  </si>
  <si>
    <t>Słowackiego 22D</t>
  </si>
  <si>
    <t>590310600002379670</t>
  </si>
  <si>
    <t>Spichrzowa</t>
  </si>
  <si>
    <t>590310600000704849</t>
  </si>
  <si>
    <t>Spokojna</t>
  </si>
  <si>
    <t>590310600007595358</t>
  </si>
  <si>
    <t>Spokojna przy bud 3</t>
  </si>
  <si>
    <t>590310600000773722</t>
  </si>
  <si>
    <t>590310600002376365</t>
  </si>
  <si>
    <t>590310600002348621</t>
  </si>
  <si>
    <t>Struga trafo bud 19</t>
  </si>
  <si>
    <t>590310600001207984</t>
  </si>
  <si>
    <t>Sucharskiego</t>
  </si>
  <si>
    <t>590310600000703101</t>
  </si>
  <si>
    <t>Sukiennicz - Muzeum</t>
  </si>
  <si>
    <t>590310600001367661</t>
  </si>
  <si>
    <t>Świętego Ducha - sygnalizacja świetlna</t>
  </si>
  <si>
    <t>590310600000652539</t>
  </si>
  <si>
    <t>Szczecińska/Kościuszki</t>
  </si>
  <si>
    <t>590310600000705914</t>
  </si>
  <si>
    <t>Szczecińska pływalnia</t>
  </si>
  <si>
    <t>590310600000705907</t>
  </si>
  <si>
    <t>Szczecińska k York</t>
  </si>
  <si>
    <t>590310600000705877</t>
  </si>
  <si>
    <t>Szczecińska dz. 59/6 (ZCP)</t>
  </si>
  <si>
    <t>590310600028731247</t>
  </si>
  <si>
    <t>Tańskiego</t>
  </si>
  <si>
    <t>590310600000654656</t>
  </si>
  <si>
    <t>Traugutta</t>
  </si>
  <si>
    <t>590310600000695116</t>
  </si>
  <si>
    <t>Twardowskiego</t>
  </si>
  <si>
    <t>03524536</t>
  </si>
  <si>
    <t>590310600028886510</t>
  </si>
  <si>
    <t xml:space="preserve">Usługowa </t>
  </si>
  <si>
    <t>590310600000645371</t>
  </si>
  <si>
    <t xml:space="preserve">Warowna </t>
  </si>
  <si>
    <t>590310600000618481</t>
  </si>
  <si>
    <t>Warowna-Sukiennicza Krzywoustego-Popiela</t>
  </si>
  <si>
    <t>590310600002379649</t>
  </si>
  <si>
    <t>Warszawska 25</t>
  </si>
  <si>
    <t>590310600000617750</t>
  </si>
  <si>
    <t>Waryńskiego</t>
  </si>
  <si>
    <t xml:space="preserve"> 590310600000673473</t>
  </si>
  <si>
    <t>Węgierska</t>
  </si>
  <si>
    <t>03470900</t>
  </si>
  <si>
    <t>590310600028646176</t>
  </si>
  <si>
    <t>Wielkopolska</t>
  </si>
  <si>
    <t>590310600029306598</t>
  </si>
  <si>
    <t>Wieniawskiego / Nasienna</t>
  </si>
  <si>
    <t>590310600000809575</t>
  </si>
  <si>
    <t xml:space="preserve">Wieniawskiego przy bud 80 </t>
  </si>
  <si>
    <t>09307501</t>
  </si>
  <si>
    <t>590310600007651344</t>
  </si>
  <si>
    <t>Wiejska trafostacja</t>
  </si>
  <si>
    <t>590310600000618528</t>
  </si>
  <si>
    <t>Wileńska Wile.Róg</t>
  </si>
  <si>
    <t>590310600000705938</t>
  </si>
  <si>
    <t>Wierzyńskiego</t>
  </si>
  <si>
    <t>590310600007651269</t>
  </si>
  <si>
    <t>Wojska Polskiego</t>
  </si>
  <si>
    <t>590310600000694652</t>
  </si>
  <si>
    <t>Wyszyńskiego / Czarnieckiego</t>
  </si>
  <si>
    <t>590310600000652485</t>
  </si>
  <si>
    <t>Wyszyńskiego</t>
  </si>
  <si>
    <t xml:space="preserve"> 590310600000652430</t>
  </si>
  <si>
    <t>Wyszyńskiego p/pocz.</t>
  </si>
  <si>
    <t>590310600000642929</t>
  </si>
  <si>
    <t>Wyszyńskiego nr działki 201 Sygnalizacja uliczna</t>
  </si>
  <si>
    <t>C12A</t>
  </si>
  <si>
    <t>590310600030357657</t>
  </si>
  <si>
    <t>Zakole</t>
  </si>
  <si>
    <t>590310600000601544</t>
  </si>
  <si>
    <t>Zwycięzców</t>
  </si>
  <si>
    <t>590310600000654021</t>
  </si>
  <si>
    <t>Żeglarska - obwodnica</t>
  </si>
  <si>
    <t>590310600000654670</t>
  </si>
  <si>
    <t xml:space="preserve">Żeglarska </t>
  </si>
  <si>
    <t>590310600002379700</t>
  </si>
  <si>
    <t>Żeromskiego</t>
  </si>
  <si>
    <t>590310600000681669</t>
  </si>
  <si>
    <t>Źródlana</t>
  </si>
  <si>
    <t>590310600000681621</t>
  </si>
  <si>
    <t>Umowy kompleksowe:</t>
  </si>
  <si>
    <t>Rzeźnicza nr działki 528</t>
  </si>
  <si>
    <t>ENEA S.A.</t>
  </si>
  <si>
    <t>kompleksowa</t>
  </si>
  <si>
    <t>bezterminowa</t>
  </si>
  <si>
    <t>590310600030950858</t>
  </si>
  <si>
    <t>Księcia Barnima I nr działki 100/63</t>
  </si>
  <si>
    <t>590310600031077929</t>
  </si>
  <si>
    <t>Podleśna nr działki 150/12,519,131,133,132/5</t>
  </si>
  <si>
    <t>590310600031151964</t>
  </si>
  <si>
    <t>Czarnieckiego Sygnalizacja</t>
  </si>
  <si>
    <t>Władysława Łokietka</t>
  </si>
  <si>
    <t>Ogółem taryfy :</t>
  </si>
  <si>
    <t>taryfa C11o</t>
  </si>
  <si>
    <t>taryfa C11</t>
  </si>
  <si>
    <r>
      <t>taryfa C12a szczyt/</t>
    </r>
    <r>
      <rPr>
        <sz val="9"/>
        <color indexed="10"/>
        <rFont val="Arial"/>
        <family val="2"/>
        <charset val="238"/>
      </rPr>
      <t>pozaszczyt</t>
    </r>
  </si>
  <si>
    <r>
      <t>taryfa B12 szczyt/</t>
    </r>
    <r>
      <rPr>
        <sz val="9"/>
        <color indexed="10"/>
        <rFont val="Arial"/>
        <family val="2"/>
        <charset val="238"/>
      </rPr>
      <t>pozaszczyt</t>
    </r>
  </si>
  <si>
    <t>Przewidywane zużycie 24 m-ce</t>
  </si>
  <si>
    <t>ilość układów: 217</t>
  </si>
  <si>
    <t>ilość układów: 34</t>
  </si>
  <si>
    <t>590310600000969415</t>
  </si>
  <si>
    <t>590310600000784131</t>
  </si>
  <si>
    <t>UMOWY KOMPLEKSOWE:</t>
  </si>
  <si>
    <t>Stargardzkie Centrum Kultury, Amfiteatr Park Chrobrego, 73-110 Stargard</t>
  </si>
  <si>
    <t>590310600005794000</t>
  </si>
  <si>
    <t>590310600000806277</t>
  </si>
  <si>
    <t>C21=</t>
  </si>
  <si>
    <t>C22</t>
  </si>
  <si>
    <t>SCK -4</t>
  </si>
  <si>
    <t>Muzeum 3</t>
  </si>
  <si>
    <t>Kaiążnica 3</t>
  </si>
  <si>
    <t>ilość układów: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</si>
</sst>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.00\ _z_ł_-;\-* #,##0.00\ _z_ł_-;_-* &quot;-&quot;??\ _z_ł_-;_-@_-"/>
    <numFmt numFmtId="166" formatCode="_-* #,##0.0\ _z_ł_-;\-* #,##0.0\ _z_ł_-;_-* &quot;-&quot;??\ _z_ł_-;_-@_-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indexed="10"/>
      <name val="Arial"/>
      <family val="2"/>
      <charset val="238"/>
    </font>
    <font>
      <sz val="6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7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name val="Arial"/>
      <charset val="238"/>
    </font>
    <font>
      <sz val="9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CCC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1" fillId="0" borderId="0" applyFont="0" applyFill="0" applyBorder="0" applyAlignment="0" applyProtection="0"/>
  </cellStyleXfs>
  <cellXfs count="358">
    <xf numFmtId="0" fontId="0" fillId="0" borderId="0" xfId="0"/>
    <xf numFmtId="0" fontId="2" fillId="0" borderId="0" xfId="0" applyFont="1"/>
    <xf numFmtId="49" fontId="0" fillId="0" borderId="0" xfId="0" applyNumberFormat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4" fontId="0" fillId="0" borderId="0" xfId="0" applyNumberForma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8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9" fontId="4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0" borderId="6" xfId="0" applyNumberFormat="1" applyFont="1" applyBorder="1"/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49" fontId="1" fillId="0" borderId="1" xfId="0" applyNumberFormat="1" applyFont="1" applyBorder="1"/>
    <xf numFmtId="164" fontId="4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164" fontId="0" fillId="0" borderId="0" xfId="0" applyNumberForma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/>
    </xf>
    <xf numFmtId="49" fontId="5" fillId="5" borderId="7" xfId="0" applyNumberFormat="1" applyFont="1" applyFill="1" applyBorder="1" applyAlignment="1">
      <alignment horizont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/>
    </xf>
    <xf numFmtId="49" fontId="4" fillId="5" borderId="5" xfId="0" applyNumberFormat="1" applyFont="1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wrapText="1"/>
    </xf>
    <xf numFmtId="0" fontId="19" fillId="5" borderId="2" xfId="0" applyFont="1" applyFill="1" applyBorder="1"/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center"/>
    </xf>
    <xf numFmtId="0" fontId="19" fillId="3" borderId="4" xfId="0" applyFont="1" applyFill="1" applyBorder="1"/>
    <xf numFmtId="0" fontId="4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49" fontId="4" fillId="6" borderId="5" xfId="0" applyNumberFormat="1" applyFont="1" applyFill="1" applyBorder="1" applyAlignment="1">
      <alignment horizontal="center"/>
    </xf>
    <xf numFmtId="0" fontId="1" fillId="6" borderId="2" xfId="0" applyFont="1" applyFill="1" applyBorder="1"/>
    <xf numFmtId="0" fontId="4" fillId="6" borderId="1" xfId="0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/>
    </xf>
    <xf numFmtId="49" fontId="5" fillId="7" borderId="7" xfId="0" applyNumberFormat="1" applyFont="1" applyFill="1" applyBorder="1" applyAlignment="1">
      <alignment horizontal="center" wrapText="1"/>
    </xf>
    <xf numFmtId="49" fontId="5" fillId="7" borderId="1" xfId="0" applyNumberFormat="1" applyFont="1" applyFill="1" applyBorder="1" applyAlignment="1">
      <alignment horizontal="center"/>
    </xf>
    <xf numFmtId="0" fontId="4" fillId="7" borderId="4" xfId="0" applyFont="1" applyFill="1" applyBorder="1" applyAlignment="1">
      <alignment wrapText="1"/>
    </xf>
    <xf numFmtId="49" fontId="4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wrapText="1"/>
    </xf>
    <xf numFmtId="0" fontId="4" fillId="7" borderId="4" xfId="0" applyFont="1" applyFill="1" applyBorder="1" applyAlignment="1">
      <alignment horizontal="center"/>
    </xf>
    <xf numFmtId="49" fontId="4" fillId="7" borderId="4" xfId="0" applyNumberFormat="1" applyFont="1" applyFill="1" applyBorder="1" applyAlignment="1">
      <alignment horizontal="center"/>
    </xf>
    <xf numFmtId="0" fontId="19" fillId="7" borderId="4" xfId="0" applyFont="1" applyFill="1" applyBorder="1"/>
    <xf numFmtId="0" fontId="4" fillId="8" borderId="1" xfId="0" applyFont="1" applyFill="1" applyBorder="1" applyAlignment="1">
      <alignment horizontal="center"/>
    </xf>
    <xf numFmtId="0" fontId="17" fillId="8" borderId="4" xfId="0" applyFont="1" applyFill="1" applyBorder="1" applyAlignment="1">
      <alignment wrapText="1"/>
    </xf>
    <xf numFmtId="49" fontId="4" fillId="8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wrapText="1"/>
    </xf>
    <xf numFmtId="0" fontId="4" fillId="8" borderId="4" xfId="0" applyFont="1" applyFill="1" applyBorder="1" applyAlignment="1">
      <alignment horizontal="center"/>
    </xf>
    <xf numFmtId="49" fontId="4" fillId="8" borderId="4" xfId="0" applyNumberFormat="1" applyFont="1" applyFill="1" applyBorder="1" applyAlignment="1">
      <alignment horizontal="center"/>
    </xf>
    <xf numFmtId="0" fontId="19" fillId="8" borderId="4" xfId="0" applyFont="1" applyFill="1" applyBorder="1"/>
    <xf numFmtId="2" fontId="4" fillId="5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4" fillId="6" borderId="7" xfId="0" applyNumberFormat="1" applyFont="1" applyFill="1" applyBorder="1" applyAlignment="1">
      <alignment horizontal="center" vertical="center"/>
    </xf>
    <xf numFmtId="2" fontId="4" fillId="5" borderId="7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4" fillId="7" borderId="4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/>
    <xf numFmtId="49" fontId="1" fillId="6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1" fillId="0" borderId="0" xfId="0" applyNumberFormat="1" applyFont="1"/>
    <xf numFmtId="2" fontId="9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left" vertical="center" wrapText="1"/>
    </xf>
    <xf numFmtId="49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/>
    </xf>
    <xf numFmtId="49" fontId="4" fillId="9" borderId="1" xfId="0" applyNumberFormat="1" applyFont="1" applyFill="1" applyBorder="1" applyAlignment="1">
      <alignment horizontal="center" vertical="center"/>
    </xf>
    <xf numFmtId="2" fontId="4" fillId="9" borderId="1" xfId="0" applyNumberFormat="1" applyFont="1" applyFill="1" applyBorder="1" applyAlignment="1">
      <alignment horizontal="center" vertical="center"/>
    </xf>
    <xf numFmtId="2" fontId="20" fillId="9" borderId="1" xfId="0" applyNumberFormat="1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/>
    </xf>
    <xf numFmtId="49" fontId="4" fillId="9" borderId="8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vertical="center" wrapText="1"/>
    </xf>
    <xf numFmtId="0" fontId="5" fillId="9" borderId="1" xfId="0" applyFont="1" applyFill="1" applyBorder="1" applyAlignment="1">
      <alignment horizontal="center" vertical="center"/>
    </xf>
    <xf numFmtId="49" fontId="15" fillId="9" borderId="1" xfId="0" applyNumberFormat="1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/>
    </xf>
    <xf numFmtId="49" fontId="4" fillId="9" borderId="7" xfId="0" applyNumberFormat="1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vertical="center" wrapText="1"/>
    </xf>
    <xf numFmtId="0" fontId="4" fillId="9" borderId="7" xfId="0" applyFont="1" applyFill="1" applyBorder="1" applyAlignment="1">
      <alignment vertical="center" wrapText="1"/>
    </xf>
    <xf numFmtId="49" fontId="4" fillId="9" borderId="2" xfId="0" applyNumberFormat="1" applyFont="1" applyFill="1" applyBorder="1" applyAlignment="1">
      <alignment horizontal="center" vertical="center" wrapText="1"/>
    </xf>
    <xf numFmtId="49" fontId="4" fillId="9" borderId="2" xfId="0" applyNumberFormat="1" applyFont="1" applyFill="1" applyBorder="1" applyAlignment="1">
      <alignment horizontal="center" vertical="center"/>
    </xf>
    <xf numFmtId="0" fontId="4" fillId="9" borderId="8" xfId="0" applyFont="1" applyFill="1" applyBorder="1" applyAlignment="1">
      <alignment vertical="center" wrapText="1"/>
    </xf>
    <xf numFmtId="0" fontId="5" fillId="9" borderId="3" xfId="0" applyFont="1" applyFill="1" applyBorder="1" applyAlignment="1">
      <alignment vertical="center" wrapText="1"/>
    </xf>
    <xf numFmtId="0" fontId="4" fillId="9" borderId="4" xfId="0" applyFont="1" applyFill="1" applyBorder="1" applyAlignment="1">
      <alignment vertical="center" wrapText="1"/>
    </xf>
    <xf numFmtId="49" fontId="4" fillId="9" borderId="7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7" borderId="2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4" fillId="9" borderId="1" xfId="0" applyFont="1" applyFill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" fontId="2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horizontal="center" vertical="center" wrapText="1"/>
    </xf>
    <xf numFmtId="166" fontId="25" fillId="0" borderId="11" xfId="1" applyNumberFormat="1" applyFont="1" applyFill="1" applyBorder="1" applyAlignment="1">
      <alignment horizontal="center" vertical="center" wrapText="1"/>
    </xf>
    <xf numFmtId="4" fontId="25" fillId="0" borderId="1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0" fontId="16" fillId="9" borderId="7" xfId="0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left" vertical="center"/>
    </xf>
    <xf numFmtId="0" fontId="22" fillId="9" borderId="1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16" fillId="10" borderId="3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49" fontId="4" fillId="10" borderId="1" xfId="0" applyNumberFormat="1" applyFont="1" applyFill="1" applyBorder="1" applyAlignment="1">
      <alignment horizontal="center" vertical="center" wrapText="1"/>
    </xf>
    <xf numFmtId="164" fontId="4" fillId="10" borderId="1" xfId="0" applyNumberFormat="1" applyFont="1" applyFill="1" applyBorder="1" applyAlignment="1">
      <alignment horizontal="center" vertical="center"/>
    </xf>
    <xf numFmtId="164" fontId="4" fillId="1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4" fillId="9" borderId="1" xfId="0" applyFont="1" applyFill="1" applyBorder="1" applyAlignment="1">
      <alignment horizontal="left" vertical="top" wrapText="1"/>
    </xf>
    <xf numFmtId="0" fontId="4" fillId="11" borderId="1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5" fillId="11" borderId="1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/>
    </xf>
    <xf numFmtId="49" fontId="4" fillId="11" borderId="1" xfId="0" applyNumberFormat="1" applyFont="1" applyFill="1" applyBorder="1" applyAlignment="1">
      <alignment horizontal="center" vertical="center" wrapText="1"/>
    </xf>
    <xf numFmtId="0" fontId="4" fillId="11" borderId="7" xfId="0" applyFont="1" applyFill="1" applyBorder="1" applyAlignment="1">
      <alignment horizontal="center" vertical="center" wrapText="1"/>
    </xf>
    <xf numFmtId="164" fontId="4" fillId="11" borderId="1" xfId="0" applyNumberFormat="1" applyFont="1" applyFill="1" applyBorder="1" applyAlignment="1">
      <alignment horizontal="center" vertical="center"/>
    </xf>
    <xf numFmtId="164" fontId="4" fillId="11" borderId="1" xfId="0" applyNumberFormat="1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5" fillId="12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/>
    </xf>
    <xf numFmtId="0" fontId="4" fillId="12" borderId="7" xfId="0" applyFont="1" applyFill="1" applyBorder="1" applyAlignment="1">
      <alignment horizontal="center" vertical="center" wrapText="1"/>
    </xf>
    <xf numFmtId="49" fontId="4" fillId="12" borderId="1" xfId="0" applyNumberFormat="1" applyFont="1" applyFill="1" applyBorder="1" applyAlignment="1">
      <alignment horizontal="center" vertical="center" wrapText="1"/>
    </xf>
    <xf numFmtId="164" fontId="4" fillId="12" borderId="1" xfId="0" applyNumberFormat="1" applyFont="1" applyFill="1" applyBorder="1" applyAlignment="1">
      <alignment horizontal="center" vertical="center"/>
    </xf>
    <xf numFmtId="164" fontId="4" fillId="12" borderId="1" xfId="0" applyNumberFormat="1" applyFont="1" applyFill="1" applyBorder="1" applyAlignment="1">
      <alignment horizontal="center" vertical="center" wrapText="1"/>
    </xf>
    <xf numFmtId="0" fontId="4" fillId="12" borderId="3" xfId="0" applyFont="1" applyFill="1" applyBorder="1" applyAlignment="1">
      <alignment horizontal="left" vertical="center" wrapText="1"/>
    </xf>
    <xf numFmtId="0" fontId="4" fillId="12" borderId="12" xfId="0" applyFont="1" applyFill="1" applyBorder="1" applyAlignment="1">
      <alignment horizontal="center" vertical="center" wrapText="1"/>
    </xf>
    <xf numFmtId="0" fontId="16" fillId="12" borderId="3" xfId="0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 vertical="center" wrapText="1"/>
    </xf>
    <xf numFmtId="49" fontId="4" fillId="12" borderId="7" xfId="0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left" vertical="center" wrapText="1"/>
    </xf>
    <xf numFmtId="0" fontId="4" fillId="11" borderId="12" xfId="0" applyFont="1" applyFill="1" applyBorder="1" applyAlignment="1">
      <alignment horizontal="center" vertical="center" wrapText="1"/>
    </xf>
    <xf numFmtId="0" fontId="16" fillId="11" borderId="3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left" vertical="center" wrapText="1"/>
    </xf>
    <xf numFmtId="0" fontId="4" fillId="13" borderId="1" xfId="0" applyFont="1" applyFill="1" applyBorder="1" applyAlignment="1">
      <alignment horizontal="center" vertical="center" wrapText="1"/>
    </xf>
    <xf numFmtId="4" fontId="22" fillId="9" borderId="1" xfId="0" applyNumberFormat="1" applyFont="1" applyFill="1" applyBorder="1" applyAlignment="1">
      <alignment horizontal="left" vertical="center"/>
    </xf>
    <xf numFmtId="164" fontId="4" fillId="9" borderId="2" xfId="0" applyNumberFormat="1" applyFont="1" applyFill="1" applyBorder="1" applyAlignment="1">
      <alignment horizontal="center" vertical="center" wrapText="1"/>
    </xf>
    <xf numFmtId="0" fontId="4" fillId="0" borderId="10" xfId="0" applyFont="1" applyBorder="1"/>
    <xf numFmtId="0" fontId="22" fillId="12" borderId="1" xfId="0" applyFont="1" applyFill="1" applyBorder="1" applyAlignment="1">
      <alignment horizontal="left" vertical="center" wrapText="1"/>
    </xf>
    <xf numFmtId="0" fontId="22" fillId="12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22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9" borderId="1" xfId="0" applyFont="1" applyFill="1" applyBorder="1" applyAlignment="1">
      <alignment vertical="top" wrapText="1"/>
    </xf>
    <xf numFmtId="0" fontId="4" fillId="14" borderId="1" xfId="0" applyFont="1" applyFill="1" applyBorder="1" applyAlignment="1">
      <alignment vertical="center" wrapText="1"/>
    </xf>
    <xf numFmtId="0" fontId="4" fillId="14" borderId="1" xfId="0" applyFont="1" applyFill="1" applyBorder="1" applyAlignment="1">
      <alignment horizontal="left" vertical="center" wrapText="1"/>
    </xf>
    <xf numFmtId="0" fontId="4" fillId="14" borderId="3" xfId="0" applyFont="1" applyFill="1" applyBorder="1" applyAlignment="1">
      <alignment horizontal="left" vertical="center" wrapText="1"/>
    </xf>
    <xf numFmtId="0" fontId="5" fillId="14" borderId="1" xfId="0" applyFont="1" applyFill="1" applyBorder="1" applyAlignment="1">
      <alignment horizontal="left"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4" fillId="14" borderId="7" xfId="0" applyFont="1" applyFill="1" applyBorder="1" applyAlignment="1">
      <alignment horizontal="center" vertical="center" wrapText="1"/>
    </xf>
    <xf numFmtId="49" fontId="4" fillId="14" borderId="1" xfId="0" applyNumberFormat="1" applyFont="1" applyFill="1" applyBorder="1" applyAlignment="1">
      <alignment horizontal="center" vertical="center" wrapText="1"/>
    </xf>
    <xf numFmtId="164" fontId="4" fillId="14" borderId="1" xfId="0" applyNumberFormat="1" applyFont="1" applyFill="1" applyBorder="1" applyAlignment="1">
      <alignment horizontal="center" vertical="center"/>
    </xf>
    <xf numFmtId="164" fontId="4" fillId="14" borderId="1" xfId="0" applyNumberFormat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/>
    </xf>
    <xf numFmtId="49" fontId="1" fillId="7" borderId="2" xfId="0" applyNumberFormat="1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/>
    </xf>
    <xf numFmtId="49" fontId="28" fillId="9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9" borderId="1" xfId="0" applyFont="1" applyFill="1" applyBorder="1" applyAlignment="1">
      <alignment vertical="center" wrapText="1"/>
    </xf>
    <xf numFmtId="2" fontId="1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2" fontId="12" fillId="4" borderId="2" xfId="0" applyNumberFormat="1" applyFont="1" applyFill="1" applyBorder="1" applyAlignment="1">
      <alignment horizontal="center" vertical="center" wrapText="1"/>
    </xf>
    <xf numFmtId="2" fontId="12" fillId="4" borderId="4" xfId="0" applyNumberFormat="1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2" fontId="13" fillId="8" borderId="2" xfId="0" applyNumberFormat="1" applyFont="1" applyFill="1" applyBorder="1" applyAlignment="1">
      <alignment horizontal="center" vertical="center"/>
    </xf>
    <xf numFmtId="2" fontId="13" fillId="8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" fillId="0" borderId="0" xfId="0" applyFont="1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topLeftCell="A33" zoomScale="96" zoomScaleNormal="96" workbookViewId="0">
      <selection activeCell="C52" sqref="C52"/>
    </sheetView>
  </sheetViews>
  <sheetFormatPr defaultRowHeight="13.2" x14ac:dyDescent="0.25"/>
  <cols>
    <col min="1" max="1" width="4.44140625" customWidth="1"/>
    <col min="2" max="2" width="32.109375" customWidth="1"/>
    <col min="3" max="3" width="16.6640625" customWidth="1"/>
    <col min="4" max="4" width="11.88671875" customWidth="1"/>
    <col min="5" max="5" width="7.33203125" bestFit="1" customWidth="1"/>
    <col min="6" max="6" width="8.109375" bestFit="1" customWidth="1"/>
    <col min="7" max="7" width="10" bestFit="1" customWidth="1"/>
    <col min="8" max="8" width="11.5546875" customWidth="1"/>
    <col min="9" max="9" width="12" style="2" customWidth="1"/>
    <col min="10" max="10" width="25.33203125" style="7" bestFit="1" customWidth="1"/>
    <col min="11" max="11" width="9.109375" style="8" customWidth="1"/>
    <col min="12" max="12" width="10.6640625" style="10" bestFit="1" customWidth="1"/>
    <col min="13" max="13" width="10.6640625" customWidth="1"/>
  </cols>
  <sheetData>
    <row r="1" spans="1:17" ht="15.6" x14ac:dyDescent="0.3">
      <c r="A1" s="29"/>
      <c r="B1" s="3"/>
      <c r="C1" s="4"/>
      <c r="D1" s="4"/>
      <c r="E1" s="4"/>
      <c r="F1" s="4"/>
      <c r="G1" s="4"/>
      <c r="H1" s="4"/>
      <c r="I1" s="30"/>
      <c r="K1" s="9"/>
      <c r="L1" s="31"/>
    </row>
    <row r="2" spans="1:17" ht="32.25" customHeight="1" x14ac:dyDescent="0.25">
      <c r="A2" s="331" t="s">
        <v>105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139"/>
    </row>
    <row r="3" spans="1:17" ht="15.75" customHeight="1" x14ac:dyDescent="0.25">
      <c r="A3" s="332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139"/>
    </row>
    <row r="4" spans="1:17" ht="57.6" x14ac:dyDescent="0.25">
      <c r="A4" s="32" t="s">
        <v>0</v>
      </c>
      <c r="B4" s="32" t="s">
        <v>18</v>
      </c>
      <c r="C4" s="32" t="s">
        <v>32</v>
      </c>
      <c r="D4" s="32" t="s">
        <v>1</v>
      </c>
      <c r="E4" s="14" t="s">
        <v>19</v>
      </c>
      <c r="F4" s="14" t="s">
        <v>2</v>
      </c>
      <c r="G4" s="32" t="s">
        <v>3</v>
      </c>
      <c r="H4" s="32" t="s">
        <v>4</v>
      </c>
      <c r="I4" s="33" t="s">
        <v>5</v>
      </c>
      <c r="J4" s="190" t="s">
        <v>137</v>
      </c>
      <c r="K4" s="20" t="s">
        <v>86</v>
      </c>
      <c r="L4" s="34" t="s">
        <v>87</v>
      </c>
      <c r="M4" s="55"/>
      <c r="O4" s="69"/>
      <c r="P4" s="70"/>
    </row>
    <row r="5" spans="1:17" ht="37.5" customHeight="1" x14ac:dyDescent="0.25">
      <c r="A5" s="165">
        <v>1</v>
      </c>
      <c r="B5" s="174" t="s">
        <v>63</v>
      </c>
      <c r="C5" s="164" t="s">
        <v>83</v>
      </c>
      <c r="D5" s="165" t="s">
        <v>84</v>
      </c>
      <c r="E5" s="172" t="s">
        <v>7</v>
      </c>
      <c r="F5" s="177" t="s">
        <v>38</v>
      </c>
      <c r="G5" s="172">
        <v>96799109</v>
      </c>
      <c r="H5" s="172">
        <v>8542228873</v>
      </c>
      <c r="I5" s="178" t="s">
        <v>11</v>
      </c>
      <c r="J5" s="181" t="s">
        <v>94</v>
      </c>
      <c r="K5" s="168">
        <v>76</v>
      </c>
      <c r="L5" s="169"/>
      <c r="M5" s="140"/>
      <c r="N5" s="4"/>
      <c r="O5" s="143"/>
      <c r="P5" s="143"/>
    </row>
    <row r="6" spans="1:17" ht="24" customHeight="1" x14ac:dyDescent="0.25">
      <c r="A6" s="337">
        <v>2</v>
      </c>
      <c r="B6" s="184" t="s">
        <v>28</v>
      </c>
      <c r="C6" s="164" t="s">
        <v>83</v>
      </c>
      <c r="D6" s="165" t="s">
        <v>84</v>
      </c>
      <c r="E6" s="177" t="s">
        <v>8</v>
      </c>
      <c r="F6" s="177" t="s">
        <v>39</v>
      </c>
      <c r="G6" s="172">
        <v>56126021</v>
      </c>
      <c r="H6" s="172">
        <v>8542228873</v>
      </c>
      <c r="I6" s="167" t="s">
        <v>21</v>
      </c>
      <c r="J6" s="181" t="s">
        <v>106</v>
      </c>
      <c r="K6" s="168">
        <v>1.4</v>
      </c>
      <c r="L6" s="168">
        <v>2.2000000000000002</v>
      </c>
      <c r="M6" s="342"/>
      <c r="N6" s="4"/>
      <c r="O6" s="143"/>
      <c r="P6" s="143"/>
    </row>
    <row r="7" spans="1:17" ht="24" customHeight="1" x14ac:dyDescent="0.25">
      <c r="A7" s="341"/>
      <c r="B7" s="183" t="s">
        <v>29</v>
      </c>
      <c r="C7" s="164" t="s">
        <v>83</v>
      </c>
      <c r="D7" s="165" t="s">
        <v>84</v>
      </c>
      <c r="E7" s="177" t="s">
        <v>8</v>
      </c>
      <c r="F7" s="177" t="s">
        <v>39</v>
      </c>
      <c r="G7" s="172">
        <v>56125938</v>
      </c>
      <c r="H7" s="172">
        <v>8542228873</v>
      </c>
      <c r="I7" s="167" t="s">
        <v>21</v>
      </c>
      <c r="J7" s="181" t="s">
        <v>107</v>
      </c>
      <c r="K7" s="168">
        <v>14</v>
      </c>
      <c r="L7" s="168">
        <v>29</v>
      </c>
      <c r="M7" s="342"/>
      <c r="N7" s="4"/>
      <c r="O7" s="143"/>
      <c r="P7" s="143"/>
    </row>
    <row r="8" spans="1:17" ht="24" customHeight="1" x14ac:dyDescent="0.25">
      <c r="A8" s="338"/>
      <c r="B8" s="180" t="s">
        <v>30</v>
      </c>
      <c r="C8" s="164" t="s">
        <v>83</v>
      </c>
      <c r="D8" s="165" t="s">
        <v>84</v>
      </c>
      <c r="E8" s="177" t="s">
        <v>6</v>
      </c>
      <c r="F8" s="177" t="s">
        <v>40</v>
      </c>
      <c r="G8" s="172">
        <v>26320909</v>
      </c>
      <c r="H8" s="172">
        <v>8542228873</v>
      </c>
      <c r="I8" s="167" t="s">
        <v>21</v>
      </c>
      <c r="J8" s="181" t="s">
        <v>108</v>
      </c>
      <c r="K8" s="168">
        <v>1</v>
      </c>
      <c r="L8" s="168"/>
      <c r="M8" s="342"/>
      <c r="N8" s="4"/>
      <c r="O8" s="143"/>
      <c r="P8" s="143"/>
    </row>
    <row r="9" spans="1:17" ht="32.25" customHeight="1" x14ac:dyDescent="0.25">
      <c r="A9" s="337">
        <v>3</v>
      </c>
      <c r="B9" s="309" t="s">
        <v>102</v>
      </c>
      <c r="C9" s="164" t="s">
        <v>83</v>
      </c>
      <c r="D9" s="165" t="s">
        <v>84</v>
      </c>
      <c r="E9" s="177" t="s">
        <v>8</v>
      </c>
      <c r="F9" s="172" t="s">
        <v>39</v>
      </c>
      <c r="G9" s="172">
        <v>96777849</v>
      </c>
      <c r="H9" s="172">
        <v>8542228873</v>
      </c>
      <c r="I9" s="164" t="s">
        <v>12</v>
      </c>
      <c r="J9" s="181" t="s">
        <v>101</v>
      </c>
      <c r="K9" s="168">
        <v>25.7</v>
      </c>
      <c r="L9" s="168">
        <v>43.8</v>
      </c>
      <c r="M9" s="342"/>
      <c r="N9" s="4"/>
      <c r="O9" s="143"/>
      <c r="P9" s="143"/>
    </row>
    <row r="10" spans="1:17" ht="30" customHeight="1" x14ac:dyDescent="0.25">
      <c r="A10" s="341"/>
      <c r="B10" s="309" t="s">
        <v>100</v>
      </c>
      <c r="C10" s="164" t="s">
        <v>83</v>
      </c>
      <c r="D10" s="165" t="s">
        <v>84</v>
      </c>
      <c r="E10" s="177" t="s">
        <v>8</v>
      </c>
      <c r="F10" s="172" t="s">
        <v>39</v>
      </c>
      <c r="G10" s="172">
        <v>56202317</v>
      </c>
      <c r="H10" s="172">
        <v>8542228873</v>
      </c>
      <c r="I10" s="164">
        <v>811922401</v>
      </c>
      <c r="J10" s="181" t="s">
        <v>99</v>
      </c>
      <c r="K10" s="168">
        <v>18.399999999999999</v>
      </c>
      <c r="L10" s="168">
        <v>31.4</v>
      </c>
      <c r="M10" s="342"/>
      <c r="N10" s="4"/>
      <c r="O10" s="143"/>
      <c r="P10" s="143"/>
    </row>
    <row r="11" spans="1:17" ht="31.5" customHeight="1" x14ac:dyDescent="0.25">
      <c r="A11" s="338"/>
      <c r="B11" s="309" t="s">
        <v>100</v>
      </c>
      <c r="C11" s="164" t="s">
        <v>83</v>
      </c>
      <c r="D11" s="165" t="s">
        <v>84</v>
      </c>
      <c r="E11" s="177" t="s">
        <v>6</v>
      </c>
      <c r="F11" s="172" t="s">
        <v>41</v>
      </c>
      <c r="G11" s="172">
        <v>9676663</v>
      </c>
      <c r="H11" s="172">
        <v>8542228873</v>
      </c>
      <c r="I11" s="164">
        <v>811922401</v>
      </c>
      <c r="J11" s="181" t="s">
        <v>98</v>
      </c>
      <c r="K11" s="168">
        <v>6.8</v>
      </c>
      <c r="L11" s="168"/>
      <c r="M11" s="342"/>
      <c r="N11" s="4"/>
      <c r="O11" s="143"/>
      <c r="P11" s="143"/>
    </row>
    <row r="12" spans="1:17" ht="39.75" customHeight="1" x14ac:dyDescent="0.25">
      <c r="A12" s="165">
        <v>4</v>
      </c>
      <c r="B12" s="174" t="s">
        <v>64</v>
      </c>
      <c r="C12" s="164" t="s">
        <v>83</v>
      </c>
      <c r="D12" s="165" t="s">
        <v>84</v>
      </c>
      <c r="E12" s="172" t="s">
        <v>8</v>
      </c>
      <c r="F12" s="172" t="s">
        <v>42</v>
      </c>
      <c r="G12" s="172">
        <v>47958607</v>
      </c>
      <c r="H12" s="172">
        <v>8541015460</v>
      </c>
      <c r="I12" s="164" t="s">
        <v>13</v>
      </c>
      <c r="J12" s="182" t="s">
        <v>117</v>
      </c>
      <c r="K12" s="168">
        <v>10</v>
      </c>
      <c r="L12" s="168">
        <v>40</v>
      </c>
      <c r="M12" s="140"/>
      <c r="N12" s="4"/>
      <c r="O12" s="143"/>
      <c r="P12" s="143"/>
      <c r="Q12" s="4"/>
    </row>
    <row r="13" spans="1:17" ht="36.75" customHeight="1" x14ac:dyDescent="0.25">
      <c r="A13" s="165">
        <v>5</v>
      </c>
      <c r="B13" s="174" t="s">
        <v>65</v>
      </c>
      <c r="C13" s="164" t="s">
        <v>83</v>
      </c>
      <c r="D13" s="165" t="s">
        <v>84</v>
      </c>
      <c r="E13" s="172" t="s">
        <v>9</v>
      </c>
      <c r="F13" s="172" t="s">
        <v>43</v>
      </c>
      <c r="G13" s="172">
        <v>42203267</v>
      </c>
      <c r="H13" s="172">
        <v>8542228873</v>
      </c>
      <c r="I13" s="164" t="s">
        <v>14</v>
      </c>
      <c r="J13" s="182" t="s">
        <v>116</v>
      </c>
      <c r="K13" s="168">
        <v>59</v>
      </c>
      <c r="L13" s="168">
        <v>105</v>
      </c>
      <c r="M13" s="136"/>
      <c r="N13" s="4"/>
      <c r="O13" s="143"/>
      <c r="P13" s="143"/>
    </row>
    <row r="14" spans="1:17" ht="38.25" customHeight="1" x14ac:dyDescent="0.25">
      <c r="A14" s="165">
        <v>6</v>
      </c>
      <c r="B14" s="174" t="s">
        <v>66</v>
      </c>
      <c r="C14" s="164" t="s">
        <v>83</v>
      </c>
      <c r="D14" s="165" t="s">
        <v>84</v>
      </c>
      <c r="E14" s="172" t="s">
        <v>8</v>
      </c>
      <c r="F14" s="172" t="s">
        <v>44</v>
      </c>
      <c r="G14" s="165">
        <v>62334306</v>
      </c>
      <c r="H14" s="172">
        <v>8542228873</v>
      </c>
      <c r="I14" s="164">
        <v>812387855</v>
      </c>
      <c r="J14" s="181" t="s">
        <v>120</v>
      </c>
      <c r="K14" s="168">
        <v>20</v>
      </c>
      <c r="L14" s="168">
        <v>32</v>
      </c>
      <c r="M14" s="140"/>
      <c r="N14" s="4"/>
      <c r="O14" s="143"/>
      <c r="P14" s="143"/>
    </row>
    <row r="15" spans="1:17" ht="24" customHeight="1" x14ac:dyDescent="0.25">
      <c r="A15" s="337">
        <v>7</v>
      </c>
      <c r="B15" s="335" t="s">
        <v>67</v>
      </c>
      <c r="C15" s="164" t="s">
        <v>83</v>
      </c>
      <c r="D15" s="165" t="s">
        <v>84</v>
      </c>
      <c r="E15" s="172" t="s">
        <v>7</v>
      </c>
      <c r="F15" s="172" t="s">
        <v>45</v>
      </c>
      <c r="G15" s="172">
        <v>96863923</v>
      </c>
      <c r="H15" s="172">
        <v>8542228873</v>
      </c>
      <c r="I15" s="178" t="s">
        <v>15</v>
      </c>
      <c r="J15" s="181" t="s">
        <v>103</v>
      </c>
      <c r="K15" s="168">
        <v>105</v>
      </c>
      <c r="L15" s="169"/>
      <c r="M15" s="342"/>
      <c r="N15" s="4"/>
      <c r="O15" s="143"/>
      <c r="P15" s="143"/>
    </row>
    <row r="16" spans="1:17" ht="25.5" customHeight="1" x14ac:dyDescent="0.25">
      <c r="A16" s="338"/>
      <c r="B16" s="336"/>
      <c r="C16" s="164" t="s">
        <v>83</v>
      </c>
      <c r="D16" s="165" t="s">
        <v>84</v>
      </c>
      <c r="E16" s="172" t="s">
        <v>6</v>
      </c>
      <c r="F16" s="172" t="s">
        <v>46</v>
      </c>
      <c r="G16" s="172">
        <v>96722077</v>
      </c>
      <c r="H16" s="172">
        <v>8542228873</v>
      </c>
      <c r="I16" s="164" t="s">
        <v>15</v>
      </c>
      <c r="J16" s="181" t="s">
        <v>104</v>
      </c>
      <c r="K16" s="168">
        <v>4.5</v>
      </c>
      <c r="L16" s="169"/>
      <c r="M16" s="342"/>
      <c r="N16" s="4"/>
      <c r="O16" s="143"/>
      <c r="P16" s="143"/>
    </row>
    <row r="17" spans="1:17" ht="23.25" customHeight="1" x14ac:dyDescent="0.25">
      <c r="A17" s="337">
        <v>8</v>
      </c>
      <c r="B17" s="335" t="s">
        <v>113</v>
      </c>
      <c r="C17" s="164" t="s">
        <v>83</v>
      </c>
      <c r="D17" s="165" t="s">
        <v>84</v>
      </c>
      <c r="E17" s="172" t="s">
        <v>8</v>
      </c>
      <c r="F17" s="172" t="s">
        <v>39</v>
      </c>
      <c r="G17" s="175" t="s">
        <v>37</v>
      </c>
      <c r="H17" s="172">
        <v>8542228873</v>
      </c>
      <c r="I17" s="178" t="s">
        <v>16</v>
      </c>
      <c r="J17" s="181" t="s">
        <v>114</v>
      </c>
      <c r="K17" s="168">
        <v>34</v>
      </c>
      <c r="L17" s="168">
        <v>51</v>
      </c>
      <c r="M17" s="342"/>
      <c r="N17" s="4"/>
      <c r="O17" s="143"/>
      <c r="P17" s="143"/>
      <c r="Q17" s="4"/>
    </row>
    <row r="18" spans="1:17" ht="24.75" customHeight="1" x14ac:dyDescent="0.25">
      <c r="A18" s="338"/>
      <c r="B18" s="336"/>
      <c r="C18" s="164" t="s">
        <v>83</v>
      </c>
      <c r="D18" s="165" t="s">
        <v>84</v>
      </c>
      <c r="E18" s="172" t="s">
        <v>6</v>
      </c>
      <c r="F18" s="172" t="s">
        <v>40</v>
      </c>
      <c r="G18" s="172">
        <v>20623546</v>
      </c>
      <c r="H18" s="172">
        <v>8542228873</v>
      </c>
      <c r="I18" s="164" t="s">
        <v>16</v>
      </c>
      <c r="J18" s="181" t="s">
        <v>115</v>
      </c>
      <c r="K18" s="168">
        <v>1.2</v>
      </c>
      <c r="L18" s="168"/>
      <c r="M18" s="342"/>
      <c r="N18" s="4"/>
      <c r="O18" s="143"/>
      <c r="P18" s="143"/>
      <c r="Q18" s="4"/>
    </row>
    <row r="19" spans="1:17" ht="36.75" customHeight="1" x14ac:dyDescent="0.25">
      <c r="A19" s="165">
        <v>9</v>
      </c>
      <c r="B19" s="174" t="s">
        <v>92</v>
      </c>
      <c r="C19" s="164" t="s">
        <v>83</v>
      </c>
      <c r="D19" s="165" t="s">
        <v>84</v>
      </c>
      <c r="E19" s="172" t="s">
        <v>8</v>
      </c>
      <c r="F19" s="172" t="s">
        <v>39</v>
      </c>
      <c r="G19" s="172">
        <v>51161339</v>
      </c>
      <c r="H19" s="172">
        <v>8542228873</v>
      </c>
      <c r="I19" s="164" t="s">
        <v>20</v>
      </c>
      <c r="J19" s="181" t="s">
        <v>93</v>
      </c>
      <c r="K19" s="168">
        <v>25.4</v>
      </c>
      <c r="L19" s="168">
        <v>55.3</v>
      </c>
      <c r="M19" s="140"/>
      <c r="N19" s="4"/>
      <c r="O19" s="143"/>
      <c r="P19" s="143"/>
    </row>
    <row r="20" spans="1:17" ht="39.75" customHeight="1" x14ac:dyDescent="0.25">
      <c r="A20" s="165">
        <v>10</v>
      </c>
      <c r="B20" s="174" t="s">
        <v>68</v>
      </c>
      <c r="C20" s="164" t="s">
        <v>83</v>
      </c>
      <c r="D20" s="165" t="s">
        <v>84</v>
      </c>
      <c r="E20" s="172" t="s">
        <v>8</v>
      </c>
      <c r="F20" s="172" t="s">
        <v>39</v>
      </c>
      <c r="G20" s="172">
        <v>51162719</v>
      </c>
      <c r="H20" s="172">
        <v>8542228873</v>
      </c>
      <c r="I20" s="164" t="s">
        <v>23</v>
      </c>
      <c r="J20" s="181" t="s">
        <v>112</v>
      </c>
      <c r="K20" s="168">
        <v>20</v>
      </c>
      <c r="L20" s="168">
        <v>45.5</v>
      </c>
      <c r="M20" s="140"/>
      <c r="N20" s="4"/>
      <c r="O20" s="143"/>
      <c r="P20" s="143"/>
    </row>
    <row r="21" spans="1:17" ht="35.25" customHeight="1" x14ac:dyDescent="0.25">
      <c r="A21" s="337">
        <v>11</v>
      </c>
      <c r="B21" s="179" t="s">
        <v>69</v>
      </c>
      <c r="C21" s="164" t="s">
        <v>83</v>
      </c>
      <c r="D21" s="165" t="s">
        <v>84</v>
      </c>
      <c r="E21" s="172" t="s">
        <v>7</v>
      </c>
      <c r="F21" s="172" t="s">
        <v>47</v>
      </c>
      <c r="G21" s="172">
        <v>63302024</v>
      </c>
      <c r="H21" s="172">
        <v>8542228873</v>
      </c>
      <c r="I21" s="164">
        <v>811994754</v>
      </c>
      <c r="J21" s="181" t="s">
        <v>95</v>
      </c>
      <c r="K21" s="168">
        <v>298</v>
      </c>
      <c r="L21" s="169"/>
      <c r="M21" s="343"/>
      <c r="N21" s="4"/>
      <c r="O21" s="143"/>
      <c r="P21" s="143"/>
    </row>
    <row r="22" spans="1:17" ht="26.25" customHeight="1" x14ac:dyDescent="0.25">
      <c r="A22" s="338"/>
      <c r="B22" s="180"/>
      <c r="C22" s="164" t="s">
        <v>83</v>
      </c>
      <c r="D22" s="165" t="s">
        <v>84</v>
      </c>
      <c r="E22" s="172" t="s">
        <v>7</v>
      </c>
      <c r="F22" s="172" t="s">
        <v>48</v>
      </c>
      <c r="G22" s="172">
        <v>96722081</v>
      </c>
      <c r="H22" s="172">
        <v>8542228873</v>
      </c>
      <c r="I22" s="164">
        <v>811994754</v>
      </c>
      <c r="J22" s="181" t="s">
        <v>96</v>
      </c>
      <c r="K22" s="168">
        <v>97</v>
      </c>
      <c r="L22" s="169"/>
      <c r="M22" s="343"/>
      <c r="N22" s="4"/>
      <c r="O22" s="143"/>
      <c r="P22" s="143"/>
    </row>
    <row r="23" spans="1:17" ht="37.5" customHeight="1" x14ac:dyDescent="0.25">
      <c r="A23" s="165">
        <v>12</v>
      </c>
      <c r="B23" s="174" t="s">
        <v>70</v>
      </c>
      <c r="C23" s="164" t="s">
        <v>83</v>
      </c>
      <c r="D23" s="165" t="s">
        <v>84</v>
      </c>
      <c r="E23" s="172" t="s">
        <v>8</v>
      </c>
      <c r="F23" s="172" t="s">
        <v>39</v>
      </c>
      <c r="G23" s="172">
        <v>56201855</v>
      </c>
      <c r="H23" s="172">
        <v>8542228873</v>
      </c>
      <c r="I23" s="164">
        <v>320932799</v>
      </c>
      <c r="J23" s="182" t="s">
        <v>122</v>
      </c>
      <c r="K23" s="168">
        <v>13.4</v>
      </c>
      <c r="L23" s="168">
        <v>24.1</v>
      </c>
      <c r="M23" s="140"/>
      <c r="N23" s="4"/>
      <c r="O23" s="143"/>
      <c r="P23" s="143"/>
    </row>
    <row r="24" spans="1:17" ht="36" customHeight="1" x14ac:dyDescent="0.25">
      <c r="A24" s="165">
        <v>13</v>
      </c>
      <c r="B24" s="174" t="s">
        <v>71</v>
      </c>
      <c r="C24" s="164" t="s">
        <v>83</v>
      </c>
      <c r="D24" s="165" t="s">
        <v>84</v>
      </c>
      <c r="E24" s="172" t="s">
        <v>8</v>
      </c>
      <c r="F24" s="172" t="s">
        <v>44</v>
      </c>
      <c r="G24" s="172">
        <v>47960376</v>
      </c>
      <c r="H24" s="172">
        <v>8542228873</v>
      </c>
      <c r="I24" s="164" t="s">
        <v>31</v>
      </c>
      <c r="J24" s="181" t="s">
        <v>121</v>
      </c>
      <c r="K24" s="168">
        <v>10</v>
      </c>
      <c r="L24" s="168">
        <v>20</v>
      </c>
      <c r="M24" s="140"/>
      <c r="N24" s="4"/>
      <c r="O24" s="143"/>
      <c r="P24" s="143"/>
    </row>
    <row r="25" spans="1:17" ht="37.5" customHeight="1" x14ac:dyDescent="0.25">
      <c r="A25" s="165">
        <v>14</v>
      </c>
      <c r="B25" s="185" t="s">
        <v>72</v>
      </c>
      <c r="C25" s="164" t="s">
        <v>83</v>
      </c>
      <c r="D25" s="165" t="s">
        <v>84</v>
      </c>
      <c r="E25" s="172" t="s">
        <v>8</v>
      </c>
      <c r="F25" s="172" t="s">
        <v>39</v>
      </c>
      <c r="G25" s="172">
        <v>56125107</v>
      </c>
      <c r="H25" s="172">
        <v>8542228873</v>
      </c>
      <c r="I25" s="164">
        <v>320928220</v>
      </c>
      <c r="J25" s="181" t="s">
        <v>109</v>
      </c>
      <c r="K25" s="168">
        <v>11</v>
      </c>
      <c r="L25" s="168">
        <v>22</v>
      </c>
      <c r="M25" s="140"/>
      <c r="N25" s="4"/>
      <c r="O25" s="143"/>
      <c r="P25" s="143"/>
    </row>
    <row r="26" spans="1:17" ht="41.25" customHeight="1" x14ac:dyDescent="0.25">
      <c r="A26" s="172">
        <v>15</v>
      </c>
      <c r="B26" s="174" t="s">
        <v>110</v>
      </c>
      <c r="C26" s="164" t="s">
        <v>83</v>
      </c>
      <c r="D26" s="165" t="s">
        <v>84</v>
      </c>
      <c r="E26" s="172" t="s">
        <v>8</v>
      </c>
      <c r="F26" s="172" t="s">
        <v>39</v>
      </c>
      <c r="G26" s="172">
        <v>56195472</v>
      </c>
      <c r="H26" s="172">
        <v>8542228873</v>
      </c>
      <c r="I26" s="186">
        <v>320933095</v>
      </c>
      <c r="J26" s="181" t="s">
        <v>111</v>
      </c>
      <c r="K26" s="168">
        <v>12.4</v>
      </c>
      <c r="L26" s="168">
        <v>22.3</v>
      </c>
      <c r="M26" s="140"/>
      <c r="N26" s="4"/>
      <c r="O26" s="143"/>
      <c r="P26" s="143"/>
    </row>
    <row r="27" spans="1:17" ht="24" customHeight="1" x14ac:dyDescent="0.25">
      <c r="A27" s="339">
        <v>16</v>
      </c>
      <c r="B27" s="335" t="s">
        <v>73</v>
      </c>
      <c r="C27" s="164" t="s">
        <v>83</v>
      </c>
      <c r="D27" s="165" t="s">
        <v>84</v>
      </c>
      <c r="E27" s="172" t="s">
        <v>6</v>
      </c>
      <c r="F27" s="172" t="s">
        <v>46</v>
      </c>
      <c r="G27" s="172">
        <v>11551965</v>
      </c>
      <c r="H27" s="172">
        <v>8542228873</v>
      </c>
      <c r="I27" s="167">
        <v>320928415</v>
      </c>
      <c r="J27" s="182" t="s">
        <v>123</v>
      </c>
      <c r="K27" s="168">
        <v>4.7</v>
      </c>
      <c r="L27" s="168"/>
      <c r="M27" s="342"/>
      <c r="N27" s="4"/>
      <c r="O27" s="143"/>
      <c r="P27" s="143"/>
    </row>
    <row r="28" spans="1:17" ht="22.5" customHeight="1" x14ac:dyDescent="0.25">
      <c r="A28" s="340"/>
      <c r="B28" s="336"/>
      <c r="C28" s="164" t="s">
        <v>83</v>
      </c>
      <c r="D28" s="165" t="s">
        <v>84</v>
      </c>
      <c r="E28" s="172" t="s">
        <v>8</v>
      </c>
      <c r="F28" s="172" t="s">
        <v>39</v>
      </c>
      <c r="G28" s="172">
        <v>51158928</v>
      </c>
      <c r="H28" s="172">
        <v>8542228873</v>
      </c>
      <c r="I28" s="167">
        <v>320928415</v>
      </c>
      <c r="J28" s="182" t="s">
        <v>124</v>
      </c>
      <c r="K28" s="168">
        <v>14.5</v>
      </c>
      <c r="L28" s="168">
        <v>24.5</v>
      </c>
      <c r="M28" s="342"/>
      <c r="N28" s="4"/>
      <c r="O28" s="143"/>
      <c r="P28" s="143"/>
    </row>
    <row r="29" spans="1:17" ht="36" customHeight="1" x14ac:dyDescent="0.25">
      <c r="A29" s="172">
        <v>17</v>
      </c>
      <c r="B29" s="174" t="s">
        <v>74</v>
      </c>
      <c r="C29" s="164" t="s">
        <v>83</v>
      </c>
      <c r="D29" s="165" t="s">
        <v>84</v>
      </c>
      <c r="E29" s="172" t="s">
        <v>8</v>
      </c>
      <c r="F29" s="172" t="s">
        <v>39</v>
      </c>
      <c r="G29" s="172">
        <v>56202313</v>
      </c>
      <c r="H29" s="172">
        <v>8542228873</v>
      </c>
      <c r="I29" s="167">
        <v>320928444</v>
      </c>
      <c r="J29" s="181" t="s">
        <v>97</v>
      </c>
      <c r="K29" s="168">
        <v>10.199999999999999</v>
      </c>
      <c r="L29" s="168">
        <v>21.4</v>
      </c>
      <c r="M29" s="140"/>
      <c r="N29" s="4"/>
      <c r="O29" s="143"/>
      <c r="P29" s="143"/>
    </row>
    <row r="30" spans="1:17" ht="24.75" customHeight="1" x14ac:dyDescent="0.25">
      <c r="A30" s="337">
        <v>18</v>
      </c>
      <c r="B30" s="335" t="s">
        <v>75</v>
      </c>
      <c r="C30" s="164" t="s">
        <v>83</v>
      </c>
      <c r="D30" s="165" t="s">
        <v>84</v>
      </c>
      <c r="E30" s="166" t="s">
        <v>6</v>
      </c>
      <c r="F30" s="166" t="s">
        <v>39</v>
      </c>
      <c r="G30" s="166">
        <v>56291161</v>
      </c>
      <c r="H30" s="166">
        <v>8542228873</v>
      </c>
      <c r="I30" s="167">
        <v>320878723</v>
      </c>
      <c r="J30" s="182" t="s">
        <v>88</v>
      </c>
      <c r="K30" s="168">
        <v>40</v>
      </c>
      <c r="L30" s="169"/>
      <c r="M30" s="344"/>
      <c r="N30" s="4"/>
      <c r="O30" s="143"/>
      <c r="P30" s="143"/>
    </row>
    <row r="31" spans="1:17" ht="24.75" customHeight="1" x14ac:dyDescent="0.25">
      <c r="A31" s="338"/>
      <c r="B31" s="336"/>
      <c r="C31" s="164" t="s">
        <v>83</v>
      </c>
      <c r="D31" s="165" t="s">
        <v>84</v>
      </c>
      <c r="E31" s="172" t="s">
        <v>8</v>
      </c>
      <c r="F31" s="172" t="s">
        <v>39</v>
      </c>
      <c r="G31" s="172">
        <v>56248108</v>
      </c>
      <c r="H31" s="172">
        <v>8542228873</v>
      </c>
      <c r="I31" s="173">
        <v>320878723</v>
      </c>
      <c r="J31" s="182" t="s">
        <v>85</v>
      </c>
      <c r="K31" s="168">
        <v>8</v>
      </c>
      <c r="L31" s="168">
        <v>7.5</v>
      </c>
      <c r="M31" s="344"/>
      <c r="N31" s="4"/>
      <c r="O31" s="143"/>
      <c r="P31" s="143"/>
    </row>
    <row r="32" spans="1:17" ht="39" customHeight="1" x14ac:dyDescent="0.25">
      <c r="A32" s="172">
        <v>19</v>
      </c>
      <c r="B32" s="174" t="s">
        <v>76</v>
      </c>
      <c r="C32" s="164" t="s">
        <v>83</v>
      </c>
      <c r="D32" s="165" t="s">
        <v>84</v>
      </c>
      <c r="E32" s="172" t="s">
        <v>7</v>
      </c>
      <c r="F32" s="172" t="s">
        <v>51</v>
      </c>
      <c r="G32" s="172">
        <v>96751658</v>
      </c>
      <c r="H32" s="172">
        <v>8542228873</v>
      </c>
      <c r="I32" s="167">
        <v>320878723</v>
      </c>
      <c r="J32" s="182" t="s">
        <v>89</v>
      </c>
      <c r="K32" s="168">
        <v>65</v>
      </c>
      <c r="L32" s="168"/>
      <c r="M32" s="344"/>
      <c r="N32" s="4"/>
      <c r="O32" s="143"/>
      <c r="P32" s="143"/>
    </row>
    <row r="33" spans="1:17" ht="39" customHeight="1" x14ac:dyDescent="0.25">
      <c r="A33" s="172">
        <v>20</v>
      </c>
      <c r="B33" s="174" t="s">
        <v>77</v>
      </c>
      <c r="C33" s="164" t="s">
        <v>83</v>
      </c>
      <c r="D33" s="165" t="s">
        <v>84</v>
      </c>
      <c r="E33" s="172" t="s">
        <v>8</v>
      </c>
      <c r="F33" s="172" t="s">
        <v>39</v>
      </c>
      <c r="G33" s="172">
        <v>56248112</v>
      </c>
      <c r="H33" s="172">
        <v>8542228873</v>
      </c>
      <c r="I33" s="167" t="s">
        <v>17</v>
      </c>
      <c r="J33" s="182" t="s">
        <v>600</v>
      </c>
      <c r="K33" s="168">
        <v>7.8</v>
      </c>
      <c r="L33" s="168">
        <v>23.6</v>
      </c>
      <c r="M33" s="344"/>
      <c r="N33" s="4"/>
      <c r="O33" s="143"/>
      <c r="P33" s="143"/>
    </row>
    <row r="34" spans="1:17" ht="38.25" customHeight="1" x14ac:dyDescent="0.25">
      <c r="A34" s="172">
        <v>21</v>
      </c>
      <c r="B34" s="174" t="s">
        <v>82</v>
      </c>
      <c r="C34" s="164" t="s">
        <v>83</v>
      </c>
      <c r="D34" s="165" t="s">
        <v>84</v>
      </c>
      <c r="E34" s="172" t="s">
        <v>6</v>
      </c>
      <c r="F34" s="172" t="s">
        <v>49</v>
      </c>
      <c r="G34" s="172">
        <v>10832822</v>
      </c>
      <c r="H34" s="172">
        <v>8542228873</v>
      </c>
      <c r="I34" s="186" t="s">
        <v>17</v>
      </c>
      <c r="J34" s="326" t="s">
        <v>596</v>
      </c>
      <c r="K34" s="168">
        <v>2.2999999999999998</v>
      </c>
      <c r="L34" s="168"/>
      <c r="M34" s="344"/>
      <c r="O34" s="143"/>
      <c r="P34" s="143"/>
    </row>
    <row r="35" spans="1:17" ht="36.75" customHeight="1" x14ac:dyDescent="0.25">
      <c r="A35" s="172">
        <v>22</v>
      </c>
      <c r="B35" s="174" t="s">
        <v>78</v>
      </c>
      <c r="C35" s="164" t="s">
        <v>83</v>
      </c>
      <c r="D35" s="165" t="s">
        <v>84</v>
      </c>
      <c r="E35" s="172" t="s">
        <v>8</v>
      </c>
      <c r="F35" s="172" t="s">
        <v>39</v>
      </c>
      <c r="G35" s="172">
        <v>51161057</v>
      </c>
      <c r="H35" s="172">
        <v>8542228873</v>
      </c>
      <c r="I35" s="167" t="s">
        <v>31</v>
      </c>
      <c r="J35" s="181" t="s">
        <v>90</v>
      </c>
      <c r="K35" s="168">
        <v>26</v>
      </c>
      <c r="L35" s="168">
        <v>76</v>
      </c>
      <c r="M35" s="140"/>
      <c r="N35" s="4"/>
      <c r="O35" s="143"/>
      <c r="P35" s="143"/>
    </row>
    <row r="36" spans="1:17" ht="24.75" customHeight="1" x14ac:dyDescent="0.25">
      <c r="A36" s="165">
        <v>23</v>
      </c>
      <c r="B36" s="174" t="s">
        <v>79</v>
      </c>
      <c r="C36" s="164" t="s">
        <v>83</v>
      </c>
      <c r="D36" s="165" t="s">
        <v>84</v>
      </c>
      <c r="E36" s="172" t="s">
        <v>7</v>
      </c>
      <c r="F36" s="172" t="s">
        <v>50</v>
      </c>
      <c r="G36" s="172">
        <v>96721993</v>
      </c>
      <c r="H36" s="172">
        <v>8542228873</v>
      </c>
      <c r="I36" s="164">
        <v>811685734</v>
      </c>
      <c r="J36" s="181" t="s">
        <v>119</v>
      </c>
      <c r="K36" s="168">
        <v>268</v>
      </c>
      <c r="L36" s="168"/>
      <c r="M36" s="344"/>
      <c r="N36" s="4"/>
      <c r="O36" s="143"/>
      <c r="P36" s="143"/>
    </row>
    <row r="37" spans="1:17" ht="24" customHeight="1" x14ac:dyDescent="0.25">
      <c r="A37" s="165">
        <v>24</v>
      </c>
      <c r="B37" s="174" t="s">
        <v>80</v>
      </c>
      <c r="C37" s="164" t="s">
        <v>83</v>
      </c>
      <c r="D37" s="165" t="s">
        <v>84</v>
      </c>
      <c r="E37" s="172" t="s">
        <v>7</v>
      </c>
      <c r="F37" s="172" t="s">
        <v>51</v>
      </c>
      <c r="G37" s="172">
        <v>96811629</v>
      </c>
      <c r="H37" s="172">
        <v>8542228873</v>
      </c>
      <c r="I37" s="164">
        <v>811685734</v>
      </c>
      <c r="J37" s="181" t="s">
        <v>118</v>
      </c>
      <c r="K37" s="168">
        <v>166</v>
      </c>
      <c r="L37" s="169"/>
      <c r="M37" s="344"/>
      <c r="N37" s="4"/>
      <c r="O37" s="143"/>
      <c r="P37" s="143"/>
    </row>
    <row r="38" spans="1:17" ht="36.75" customHeight="1" x14ac:dyDescent="0.25">
      <c r="A38" s="165">
        <v>25</v>
      </c>
      <c r="B38" s="329" t="s">
        <v>81</v>
      </c>
      <c r="C38" s="164" t="s">
        <v>83</v>
      </c>
      <c r="D38" s="165" t="s">
        <v>84</v>
      </c>
      <c r="E38" s="172" t="s">
        <v>10</v>
      </c>
      <c r="F38" s="172" t="s">
        <v>52</v>
      </c>
      <c r="G38" s="167" t="s">
        <v>22</v>
      </c>
      <c r="H38" s="175">
        <v>85424004293</v>
      </c>
      <c r="I38" s="176" t="s">
        <v>27</v>
      </c>
      <c r="J38" s="181" t="s">
        <v>91</v>
      </c>
      <c r="K38" s="168">
        <v>88</v>
      </c>
      <c r="L38" s="169"/>
      <c r="M38" s="140"/>
      <c r="N38" s="4"/>
      <c r="O38" s="143"/>
      <c r="P38" s="143"/>
    </row>
    <row r="39" spans="1:17" ht="24" customHeight="1" x14ac:dyDescent="0.25">
      <c r="A39" s="35"/>
      <c r="B39" s="36"/>
      <c r="C39" s="28"/>
      <c r="D39" s="25"/>
      <c r="E39" s="37"/>
      <c r="F39" s="37"/>
      <c r="G39" s="35"/>
      <c r="H39" s="35"/>
      <c r="I39" s="38"/>
      <c r="J39" s="13" t="s">
        <v>33</v>
      </c>
      <c r="K39" s="135">
        <f>SUM(K5:K38)</f>
        <v>1564.6999999999998</v>
      </c>
      <c r="L39" s="135">
        <f>SUM(L5:L38)</f>
        <v>676.6</v>
      </c>
      <c r="M39" s="160">
        <f>SUM(K39:L39)</f>
        <v>2241.2999999999997</v>
      </c>
      <c r="O39" s="144"/>
      <c r="P39" s="144"/>
      <c r="Q39" s="137"/>
    </row>
    <row r="40" spans="1:17" ht="24" customHeight="1" x14ac:dyDescent="0.25">
      <c r="A40" s="66"/>
      <c r="B40" s="65" t="s">
        <v>54</v>
      </c>
      <c r="C40" s="67"/>
      <c r="D40" s="14"/>
      <c r="E40" s="145"/>
      <c r="F40" s="145"/>
      <c r="G40" s="66"/>
      <c r="H40" s="66"/>
      <c r="I40" s="146"/>
      <c r="J40" s="147"/>
      <c r="K40" s="148">
        <f>K6+K7+K9+K10+K12+K14+K17+K19+K20+K23+K24+K25+K26+K28+K29+K31+K33+K35</f>
        <v>282.2</v>
      </c>
      <c r="L40" s="148">
        <f>L6+L7+L9+L10+L12+L14+L17+L19+L20+L23+L24+L25+L26+L28+L29+L31+L33+L35</f>
        <v>571.6</v>
      </c>
      <c r="M40" s="136"/>
      <c r="O40" s="142"/>
      <c r="P40" s="142"/>
    </row>
    <row r="41" spans="1:17" ht="24" customHeight="1" x14ac:dyDescent="0.25">
      <c r="A41" s="66"/>
      <c r="B41" s="68" t="s">
        <v>24</v>
      </c>
      <c r="C41" s="67"/>
      <c r="D41" s="14"/>
      <c r="E41" s="145"/>
      <c r="F41" s="145"/>
      <c r="G41" s="66"/>
      <c r="H41" s="66"/>
      <c r="I41" s="149"/>
      <c r="J41" s="150"/>
      <c r="K41" s="151">
        <f>K38</f>
        <v>88</v>
      </c>
      <c r="L41" s="152"/>
      <c r="M41" s="136"/>
      <c r="O41" s="142"/>
      <c r="P41" s="141"/>
    </row>
    <row r="42" spans="1:17" ht="24" customHeight="1" x14ac:dyDescent="0.25">
      <c r="A42" s="66"/>
      <c r="B42" s="68" t="s">
        <v>26</v>
      </c>
      <c r="C42" s="67"/>
      <c r="D42" s="14"/>
      <c r="E42" s="145"/>
      <c r="F42" s="145"/>
      <c r="G42" s="66"/>
      <c r="H42" s="66"/>
      <c r="I42" s="149"/>
      <c r="J42" s="153"/>
      <c r="K42" s="151">
        <f>K8+K11+K16+K18+K27+K30+K34</f>
        <v>60.5</v>
      </c>
      <c r="L42" s="152"/>
      <c r="M42" s="136"/>
      <c r="O42" s="142"/>
      <c r="P42" s="141"/>
    </row>
    <row r="43" spans="1:17" ht="24" customHeight="1" x14ac:dyDescent="0.25">
      <c r="A43" s="66"/>
      <c r="B43" s="68" t="s">
        <v>25</v>
      </c>
      <c r="C43" s="67"/>
      <c r="D43" s="14"/>
      <c r="E43" s="145"/>
      <c r="F43" s="145"/>
      <c r="G43" s="66"/>
      <c r="H43" s="66"/>
      <c r="I43" s="149"/>
      <c r="J43" s="153"/>
      <c r="K43" s="151">
        <f>K5+K15+K21+K22+K32+K36+K37</f>
        <v>1075</v>
      </c>
      <c r="L43" s="152"/>
      <c r="M43" s="136"/>
      <c r="O43" s="142"/>
      <c r="P43" s="141"/>
    </row>
    <row r="44" spans="1:17" ht="24" customHeight="1" x14ac:dyDescent="0.25">
      <c r="A44" s="66"/>
      <c r="B44" s="68" t="s">
        <v>55</v>
      </c>
      <c r="C44" s="67"/>
      <c r="D44" s="14"/>
      <c r="E44" s="145"/>
      <c r="F44" s="145"/>
      <c r="G44" s="66"/>
      <c r="H44" s="66"/>
      <c r="I44" s="149"/>
      <c r="J44" s="153"/>
      <c r="K44" s="151">
        <f>K13</f>
        <v>59</v>
      </c>
      <c r="L44" s="151">
        <f>L13</f>
        <v>105</v>
      </c>
      <c r="M44" s="136"/>
      <c r="O44" s="142"/>
      <c r="P44" s="142"/>
    </row>
    <row r="45" spans="1:17" ht="26.25" customHeight="1" x14ac:dyDescent="0.25">
      <c r="A45" s="57"/>
      <c r="B45" s="58" t="s">
        <v>125</v>
      </c>
      <c r="C45" s="59"/>
      <c r="D45" s="60"/>
      <c r="E45" s="61"/>
      <c r="F45" s="61"/>
      <c r="G45" s="57"/>
      <c r="H45" s="57"/>
      <c r="I45" s="62"/>
      <c r="J45" s="63"/>
      <c r="K45" s="333">
        <f>M39</f>
        <v>2241.2999999999997</v>
      </c>
      <c r="L45" s="334"/>
      <c r="M45" s="136"/>
      <c r="O45" s="330"/>
      <c r="P45" s="330"/>
    </row>
    <row r="46" spans="1:17" ht="26.25" customHeight="1" x14ac:dyDescent="0.25">
      <c r="I46"/>
    </row>
    <row r="47" spans="1:17" ht="26.25" customHeight="1" x14ac:dyDescent="0.25">
      <c r="B47" s="308" t="s">
        <v>594</v>
      </c>
    </row>
    <row r="48" spans="1:17" ht="24.75" customHeight="1" x14ac:dyDescent="0.3">
      <c r="B48" t="s">
        <v>601</v>
      </c>
      <c r="C48">
        <v>7</v>
      </c>
      <c r="J48" s="328">
        <v>684.8</v>
      </c>
      <c r="K48" s="327"/>
      <c r="M48" s="6"/>
    </row>
    <row r="49" spans="2:3" x14ac:dyDescent="0.25">
      <c r="B49" t="s">
        <v>6</v>
      </c>
      <c r="C49">
        <v>7</v>
      </c>
    </row>
    <row r="50" spans="2:3" x14ac:dyDescent="0.25">
      <c r="B50" t="s">
        <v>10</v>
      </c>
      <c r="C50">
        <v>1</v>
      </c>
    </row>
    <row r="51" spans="2:3" x14ac:dyDescent="0.25">
      <c r="B51" t="s">
        <v>561</v>
      </c>
      <c r="C51">
        <v>18</v>
      </c>
    </row>
    <row r="52" spans="2:3" x14ac:dyDescent="0.25">
      <c r="B52" t="s">
        <v>602</v>
      </c>
      <c r="C52">
        <v>1</v>
      </c>
    </row>
  </sheetData>
  <mergeCells count="23">
    <mergeCell ref="M17:M18"/>
    <mergeCell ref="M21:M22"/>
    <mergeCell ref="M30:M32"/>
    <mergeCell ref="B30:B31"/>
    <mergeCell ref="M36:M37"/>
    <mergeCell ref="M27:M28"/>
    <mergeCell ref="M33:M34"/>
    <mergeCell ref="O45:P45"/>
    <mergeCell ref="A2:L3"/>
    <mergeCell ref="K45:L45"/>
    <mergeCell ref="B15:B16"/>
    <mergeCell ref="A15:A16"/>
    <mergeCell ref="B17:B18"/>
    <mergeCell ref="A17:A18"/>
    <mergeCell ref="A27:A28"/>
    <mergeCell ref="B27:B28"/>
    <mergeCell ref="A30:A31"/>
    <mergeCell ref="A6:A8"/>
    <mergeCell ref="A9:A11"/>
    <mergeCell ref="A21:A22"/>
    <mergeCell ref="M6:M8"/>
    <mergeCell ref="M9:M11"/>
    <mergeCell ref="M15:M16"/>
  </mergeCells>
  <phoneticPr fontId="0" type="noConversion"/>
  <pageMargins left="0.25" right="0.25" top="0.75" bottom="0.75" header="0.3" footer="0.3"/>
  <pageSetup paperSize="8" scale="74" orientation="portrait" r:id="rId1"/>
  <headerFooter alignWithMargins="0"/>
  <ignoredErrors>
    <ignoredError sqref="I9 I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0"/>
  <sheetViews>
    <sheetView topLeftCell="A4" workbookViewId="0">
      <selection activeCell="E6" sqref="E6"/>
    </sheetView>
  </sheetViews>
  <sheetFormatPr defaultRowHeight="13.2" x14ac:dyDescent="0.25"/>
  <cols>
    <col min="1" max="1" width="4.44140625" customWidth="1"/>
    <col min="2" max="2" width="32.109375" customWidth="1"/>
    <col min="3" max="3" width="9.5546875" customWidth="1"/>
    <col min="4" max="4" width="11.88671875" customWidth="1"/>
    <col min="5" max="5" width="8.44140625" customWidth="1"/>
    <col min="6" max="6" width="7.6640625" customWidth="1"/>
    <col min="7" max="8" width="11.5546875" customWidth="1"/>
    <col min="9" max="9" width="9.88671875" style="2" customWidth="1"/>
    <col min="10" max="10" width="34.33203125" customWidth="1"/>
    <col min="12" max="12" width="12.109375" customWidth="1"/>
    <col min="13" max="13" width="10.33203125" customWidth="1"/>
    <col min="17" max="17" width="11.6640625" customWidth="1"/>
  </cols>
  <sheetData>
    <row r="1" spans="1:19" ht="15.6" x14ac:dyDescent="0.3">
      <c r="A1" s="1"/>
      <c r="B1" s="3"/>
      <c r="K1" s="12"/>
    </row>
    <row r="2" spans="1:19" ht="32.25" customHeight="1" x14ac:dyDescent="0.25">
      <c r="A2" s="331" t="s">
        <v>141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15"/>
    </row>
    <row r="3" spans="1:19" ht="15.75" customHeight="1" x14ac:dyDescent="0.25">
      <c r="A3" s="332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4"/>
    </row>
    <row r="4" spans="1:19" ht="45" customHeight="1" x14ac:dyDescent="0.25">
      <c r="A4" s="16" t="s">
        <v>0</v>
      </c>
      <c r="B4" s="16" t="s">
        <v>18</v>
      </c>
      <c r="C4" s="17" t="s">
        <v>32</v>
      </c>
      <c r="D4" s="16" t="s">
        <v>1</v>
      </c>
      <c r="E4" s="17" t="s">
        <v>19</v>
      </c>
      <c r="F4" s="18" t="s">
        <v>2</v>
      </c>
      <c r="G4" s="16" t="s">
        <v>3</v>
      </c>
      <c r="H4" s="16" t="s">
        <v>4</v>
      </c>
      <c r="I4" s="19" t="s">
        <v>5</v>
      </c>
      <c r="J4" s="51" t="s">
        <v>137</v>
      </c>
      <c r="K4" s="20" t="s">
        <v>136</v>
      </c>
      <c r="L4" s="21" t="s">
        <v>87</v>
      </c>
      <c r="Q4" s="4"/>
      <c r="R4" s="69"/>
      <c r="S4" s="154"/>
    </row>
    <row r="5" spans="1:19" s="4" customFormat="1" ht="24" customHeight="1" x14ac:dyDescent="0.25">
      <c r="A5" s="14">
        <v>1</v>
      </c>
      <c r="B5" s="65" t="s">
        <v>58</v>
      </c>
      <c r="C5" s="103" t="s">
        <v>83</v>
      </c>
      <c r="D5" s="104" t="s">
        <v>84</v>
      </c>
      <c r="E5" s="105" t="s">
        <v>7</v>
      </c>
      <c r="F5" s="105">
        <v>80</v>
      </c>
      <c r="G5" s="105">
        <v>51160785</v>
      </c>
      <c r="H5" s="105">
        <v>8541486254</v>
      </c>
      <c r="I5" s="189" t="s">
        <v>34</v>
      </c>
      <c r="J5" s="188" t="s">
        <v>126</v>
      </c>
      <c r="K5" s="125">
        <v>80</v>
      </c>
      <c r="L5" s="126"/>
      <c r="M5" s="352"/>
      <c r="O5" s="137"/>
      <c r="P5"/>
      <c r="Q5" s="159"/>
      <c r="R5" s="143"/>
      <c r="S5" s="143"/>
    </row>
    <row r="6" spans="1:19" s="4" customFormat="1" ht="24" customHeight="1" x14ac:dyDescent="0.25">
      <c r="A6" s="14">
        <v>2</v>
      </c>
      <c r="B6" s="41" t="s">
        <v>57</v>
      </c>
      <c r="C6" s="72" t="s">
        <v>83</v>
      </c>
      <c r="D6" s="71" t="s">
        <v>84</v>
      </c>
      <c r="E6" s="73" t="s">
        <v>6</v>
      </c>
      <c r="F6" s="73">
        <v>3</v>
      </c>
      <c r="G6" s="73">
        <v>21333963</v>
      </c>
      <c r="H6" s="73">
        <v>8541486254</v>
      </c>
      <c r="I6" s="85" t="s">
        <v>34</v>
      </c>
      <c r="J6" s="187" t="s">
        <v>127</v>
      </c>
      <c r="K6" s="123">
        <v>2.4</v>
      </c>
      <c r="L6" s="124"/>
      <c r="M6" s="352"/>
      <c r="O6"/>
      <c r="P6"/>
      <c r="R6" s="143"/>
      <c r="S6" s="143"/>
    </row>
    <row r="7" spans="1:19" s="4" customFormat="1" ht="24" customHeight="1" x14ac:dyDescent="0.25">
      <c r="A7" s="14">
        <v>3</v>
      </c>
      <c r="B7" s="41" t="s">
        <v>59</v>
      </c>
      <c r="C7" s="72" t="s">
        <v>83</v>
      </c>
      <c r="D7" s="71" t="s">
        <v>84</v>
      </c>
      <c r="E7" s="73" t="s">
        <v>6</v>
      </c>
      <c r="F7" s="73">
        <v>5</v>
      </c>
      <c r="G7" s="87">
        <v>85986584</v>
      </c>
      <c r="H7" s="73">
        <v>8541486254</v>
      </c>
      <c r="I7" s="85" t="s">
        <v>34</v>
      </c>
      <c r="J7" s="187" t="s">
        <v>128</v>
      </c>
      <c r="K7" s="123">
        <v>3</v>
      </c>
      <c r="L7" s="124"/>
      <c r="M7" s="352"/>
      <c r="O7"/>
      <c r="P7"/>
      <c r="R7" s="143"/>
      <c r="S7" s="143"/>
    </row>
    <row r="8" spans="1:19" s="4" customFormat="1" ht="24" customHeight="1" x14ac:dyDescent="0.25">
      <c r="A8" s="14">
        <v>4</v>
      </c>
      <c r="B8" s="41" t="s">
        <v>138</v>
      </c>
      <c r="C8" s="76" t="s">
        <v>83</v>
      </c>
      <c r="D8" s="74" t="s">
        <v>84</v>
      </c>
      <c r="E8" s="77" t="s">
        <v>8</v>
      </c>
      <c r="F8" s="77">
        <v>17</v>
      </c>
      <c r="G8" s="77">
        <v>56248157</v>
      </c>
      <c r="H8" s="77">
        <v>8541901658</v>
      </c>
      <c r="I8" s="78" t="s">
        <v>35</v>
      </c>
      <c r="J8" s="79" t="s">
        <v>129</v>
      </c>
      <c r="K8" s="121">
        <v>10.199999999999999</v>
      </c>
      <c r="L8" s="122">
        <v>27</v>
      </c>
      <c r="M8" s="352"/>
      <c r="O8" s="137"/>
      <c r="P8"/>
      <c r="Q8" s="159"/>
      <c r="R8" s="143"/>
      <c r="S8" s="143"/>
    </row>
    <row r="9" spans="1:19" s="4" customFormat="1" ht="24" customHeight="1" x14ac:dyDescent="0.25">
      <c r="A9" s="350">
        <v>5</v>
      </c>
      <c r="B9" s="348" t="s">
        <v>139</v>
      </c>
      <c r="C9" s="103" t="s">
        <v>83</v>
      </c>
      <c r="D9" s="104" t="s">
        <v>84</v>
      </c>
      <c r="E9" s="105" t="s">
        <v>7</v>
      </c>
      <c r="F9" s="105">
        <v>60</v>
      </c>
      <c r="G9" s="105">
        <v>96777773</v>
      </c>
      <c r="H9" s="105">
        <v>8541901658</v>
      </c>
      <c r="I9" s="106" t="s">
        <v>35</v>
      </c>
      <c r="J9" s="188" t="s">
        <v>130</v>
      </c>
      <c r="K9" s="125">
        <v>110</v>
      </c>
      <c r="L9" s="126"/>
      <c r="M9" s="352"/>
      <c r="O9"/>
      <c r="P9"/>
      <c r="R9" s="143"/>
      <c r="S9" s="143"/>
    </row>
    <row r="10" spans="1:19" s="4" customFormat="1" ht="26.25" customHeight="1" x14ac:dyDescent="0.25">
      <c r="A10" s="351"/>
      <c r="B10" s="349"/>
      <c r="C10" s="76" t="s">
        <v>83</v>
      </c>
      <c r="D10" s="74" t="s">
        <v>84</v>
      </c>
      <c r="E10" s="77" t="s">
        <v>8</v>
      </c>
      <c r="F10" s="77">
        <v>27</v>
      </c>
      <c r="G10" s="77">
        <v>56248158</v>
      </c>
      <c r="H10" s="77">
        <v>8541901658</v>
      </c>
      <c r="I10" s="78" t="s">
        <v>35</v>
      </c>
      <c r="J10" s="79" t="s">
        <v>132</v>
      </c>
      <c r="K10" s="121">
        <v>25</v>
      </c>
      <c r="L10" s="122">
        <v>23</v>
      </c>
      <c r="M10" s="352"/>
      <c r="O10"/>
      <c r="P10"/>
      <c r="R10" s="143"/>
      <c r="S10" s="143"/>
    </row>
    <row r="11" spans="1:19" s="4" customFormat="1" ht="24" customHeight="1" x14ac:dyDescent="0.25">
      <c r="A11" s="64">
        <v>6</v>
      </c>
      <c r="B11" s="41" t="s">
        <v>140</v>
      </c>
      <c r="C11" s="76" t="s">
        <v>83</v>
      </c>
      <c r="D11" s="74" t="s">
        <v>84</v>
      </c>
      <c r="E11" s="77" t="s">
        <v>8</v>
      </c>
      <c r="F11" s="77">
        <v>27</v>
      </c>
      <c r="G11" s="77">
        <v>62335070</v>
      </c>
      <c r="H11" s="77">
        <v>8541901658</v>
      </c>
      <c r="I11" s="78" t="s">
        <v>35</v>
      </c>
      <c r="J11" s="79" t="s">
        <v>131</v>
      </c>
      <c r="K11" s="121">
        <v>12</v>
      </c>
      <c r="L11" s="122">
        <v>19</v>
      </c>
      <c r="M11" s="352"/>
      <c r="O11"/>
      <c r="P11"/>
      <c r="R11" s="143"/>
      <c r="S11" s="143"/>
    </row>
    <row r="12" spans="1:19" s="4" customFormat="1" ht="25.5" customHeight="1" x14ac:dyDescent="0.25">
      <c r="A12" s="14">
        <v>7</v>
      </c>
      <c r="B12" s="41" t="s">
        <v>60</v>
      </c>
      <c r="C12" s="103" t="s">
        <v>83</v>
      </c>
      <c r="D12" s="104" t="s">
        <v>84</v>
      </c>
      <c r="E12" s="105" t="s">
        <v>7</v>
      </c>
      <c r="F12" s="105">
        <v>150</v>
      </c>
      <c r="G12" s="105">
        <v>96863150</v>
      </c>
      <c r="H12" s="105">
        <v>8541003379</v>
      </c>
      <c r="I12" s="107" t="s">
        <v>36</v>
      </c>
      <c r="J12" s="188" t="s">
        <v>133</v>
      </c>
      <c r="K12" s="125">
        <v>270</v>
      </c>
      <c r="L12" s="126"/>
      <c r="M12" s="352"/>
      <c r="O12"/>
      <c r="P12"/>
      <c r="R12" s="143"/>
      <c r="S12" s="143"/>
    </row>
    <row r="13" spans="1:19" s="4" customFormat="1" ht="36.75" customHeight="1" x14ac:dyDescent="0.25">
      <c r="A13" s="14">
        <v>8</v>
      </c>
      <c r="B13" s="41" t="s">
        <v>62</v>
      </c>
      <c r="C13" s="95" t="s">
        <v>83</v>
      </c>
      <c r="D13" s="101" t="s">
        <v>84</v>
      </c>
      <c r="E13" s="93" t="s">
        <v>56</v>
      </c>
      <c r="F13" s="93">
        <v>10</v>
      </c>
      <c r="G13" s="93">
        <v>82662338</v>
      </c>
      <c r="H13" s="93">
        <v>8541003379</v>
      </c>
      <c r="I13" s="102" t="s">
        <v>36</v>
      </c>
      <c r="J13" s="138" t="s">
        <v>134</v>
      </c>
      <c r="K13" s="127">
        <v>11</v>
      </c>
      <c r="L13" s="128">
        <v>13</v>
      </c>
      <c r="M13" s="352"/>
      <c r="O13" s="137"/>
      <c r="P13"/>
      <c r="R13" s="143"/>
      <c r="S13" s="143"/>
    </row>
    <row r="14" spans="1:19" s="4" customFormat="1" ht="24" customHeight="1" x14ac:dyDescent="0.25">
      <c r="A14" s="14">
        <v>9</v>
      </c>
      <c r="B14" s="41" t="s">
        <v>61</v>
      </c>
      <c r="C14" s="72" t="s">
        <v>83</v>
      </c>
      <c r="D14" s="71" t="s">
        <v>84</v>
      </c>
      <c r="E14" s="52" t="s">
        <v>6</v>
      </c>
      <c r="F14" s="52">
        <v>27</v>
      </c>
      <c r="G14" s="52">
        <v>56292080</v>
      </c>
      <c r="H14" s="73">
        <v>8541003379</v>
      </c>
      <c r="I14" s="86" t="s">
        <v>36</v>
      </c>
      <c r="J14" s="187" t="s">
        <v>135</v>
      </c>
      <c r="K14" s="123">
        <v>7.2</v>
      </c>
      <c r="L14" s="124"/>
      <c r="M14" s="352"/>
      <c r="O14"/>
      <c r="R14" s="143"/>
      <c r="S14" s="143"/>
    </row>
    <row r="15" spans="1:19" ht="24" customHeight="1" x14ac:dyDescent="0.25">
      <c r="A15" s="40"/>
      <c r="B15" s="41"/>
      <c r="C15" s="42"/>
      <c r="D15" s="14"/>
      <c r="E15" s="40"/>
      <c r="F15" s="40"/>
      <c r="G15" s="43"/>
      <c r="H15" s="40"/>
      <c r="I15" s="44"/>
      <c r="J15" s="45"/>
      <c r="K15" s="39"/>
      <c r="L15" s="11"/>
      <c r="P15" s="137"/>
      <c r="Q15" s="137"/>
      <c r="R15" s="143"/>
      <c r="S15" s="141"/>
    </row>
    <row r="16" spans="1:19" ht="24" customHeight="1" x14ac:dyDescent="0.25">
      <c r="A16" s="46"/>
      <c r="B16" s="41" t="s">
        <v>597</v>
      </c>
      <c r="C16" s="47"/>
      <c r="D16" s="14"/>
      <c r="E16" s="46"/>
      <c r="F16" s="46"/>
      <c r="G16" s="48"/>
      <c r="H16" s="46"/>
      <c r="I16" s="44"/>
      <c r="J16" s="49"/>
      <c r="K16" s="50"/>
      <c r="L16" s="11"/>
      <c r="R16" s="155"/>
      <c r="S16" s="31"/>
    </row>
    <row r="17" spans="1:19" ht="23.25" customHeight="1" x14ac:dyDescent="0.25">
      <c r="A17" s="5">
        <v>10</v>
      </c>
      <c r="B17" s="41" t="s">
        <v>598</v>
      </c>
      <c r="C17" s="320" t="s">
        <v>578</v>
      </c>
      <c r="D17" s="321" t="s">
        <v>579</v>
      </c>
      <c r="E17" s="105" t="s">
        <v>7</v>
      </c>
      <c r="F17" s="105">
        <v>80</v>
      </c>
      <c r="G17" s="322">
        <v>42203785</v>
      </c>
      <c r="H17" s="105">
        <v>8541003379</v>
      </c>
      <c r="I17" s="107" t="s">
        <v>36</v>
      </c>
      <c r="J17" s="324" t="s">
        <v>599</v>
      </c>
      <c r="K17" s="325">
        <v>72</v>
      </c>
      <c r="L17" s="323"/>
      <c r="N17" s="4"/>
      <c r="O17" s="4"/>
      <c r="R17" s="156"/>
      <c r="S17" s="31"/>
    </row>
    <row r="18" spans="1:19" ht="25.5" customHeight="1" x14ac:dyDescent="0.25">
      <c r="A18" s="5"/>
      <c r="B18" s="22"/>
      <c r="C18" s="23"/>
      <c r="D18" s="27"/>
      <c r="E18" s="5"/>
      <c r="F18" s="5"/>
      <c r="G18" s="26"/>
      <c r="H18" s="5"/>
      <c r="I18" s="24"/>
      <c r="J18" s="13" t="s">
        <v>33</v>
      </c>
      <c r="K18" s="129">
        <f>SUM(K5:K17)</f>
        <v>602.80000000000007</v>
      </c>
      <c r="L18" s="129">
        <f>SUM(L5:L17)</f>
        <v>82</v>
      </c>
      <c r="N18" s="53"/>
      <c r="R18" s="144"/>
      <c r="S18" s="144"/>
    </row>
    <row r="19" spans="1:19" ht="25.5" customHeight="1" x14ac:dyDescent="0.25">
      <c r="A19" s="93"/>
      <c r="B19" s="94" t="s">
        <v>53</v>
      </c>
      <c r="C19" s="95"/>
      <c r="D19" s="96"/>
      <c r="E19" s="97"/>
      <c r="F19" s="97"/>
      <c r="G19" s="98"/>
      <c r="H19" s="93"/>
      <c r="I19" s="99"/>
      <c r="J19" s="100"/>
      <c r="K19" s="130">
        <f>K13</f>
        <v>11</v>
      </c>
      <c r="L19" s="130">
        <f>L13</f>
        <v>13</v>
      </c>
      <c r="R19" s="143"/>
      <c r="S19" s="143"/>
    </row>
    <row r="20" spans="1:19" ht="22.5" customHeight="1" x14ac:dyDescent="0.25">
      <c r="A20" s="77"/>
      <c r="B20" s="75" t="s">
        <v>54</v>
      </c>
      <c r="C20" s="82"/>
      <c r="D20" s="83"/>
      <c r="E20" s="80"/>
      <c r="F20" s="80"/>
      <c r="G20" s="77"/>
      <c r="H20" s="77"/>
      <c r="I20" s="81"/>
      <c r="J20" s="84"/>
      <c r="K20" s="131">
        <f>K8+K10+K11</f>
        <v>47.2</v>
      </c>
      <c r="L20" s="131">
        <f>L5+L8+L10+L11</f>
        <v>69</v>
      </c>
      <c r="R20" s="157"/>
      <c r="S20" s="157"/>
    </row>
    <row r="21" spans="1:19" ht="25.5" customHeight="1" x14ac:dyDescent="0.25">
      <c r="A21" s="87"/>
      <c r="B21" s="88" t="s">
        <v>26</v>
      </c>
      <c r="C21" s="89"/>
      <c r="D21" s="87"/>
      <c r="E21" s="90"/>
      <c r="F21" s="90"/>
      <c r="G21" s="73"/>
      <c r="H21" s="73"/>
      <c r="I21" s="91"/>
      <c r="J21" s="92"/>
      <c r="K21" s="132">
        <f>K6+K7+K14</f>
        <v>12.600000000000001</v>
      </c>
      <c r="L21" s="124"/>
      <c r="M21" s="4"/>
      <c r="R21" s="157"/>
      <c r="S21" s="141"/>
    </row>
    <row r="22" spans="1:19" ht="24.75" customHeight="1" x14ac:dyDescent="0.25">
      <c r="A22" s="105"/>
      <c r="B22" s="108" t="s">
        <v>25</v>
      </c>
      <c r="C22" s="109"/>
      <c r="D22" s="110"/>
      <c r="E22" s="111"/>
      <c r="F22" s="111"/>
      <c r="G22" s="105"/>
      <c r="H22" s="105"/>
      <c r="I22" s="112"/>
      <c r="J22" s="113"/>
      <c r="K22" s="133">
        <f>K12+K9+K5+K17</f>
        <v>532</v>
      </c>
      <c r="L22" s="126"/>
      <c r="R22" s="157"/>
      <c r="S22" s="141"/>
    </row>
    <row r="23" spans="1:19" ht="24.75" customHeight="1" x14ac:dyDescent="0.25">
      <c r="A23" s="114"/>
      <c r="B23" s="115" t="s">
        <v>125</v>
      </c>
      <c r="C23" s="116"/>
      <c r="D23" s="117"/>
      <c r="E23" s="118"/>
      <c r="F23" s="118"/>
      <c r="G23" s="114"/>
      <c r="H23" s="114"/>
      <c r="I23" s="119"/>
      <c r="J23" s="120"/>
      <c r="K23" s="134">
        <f>SUM(K19:K22)</f>
        <v>602.79999999999995</v>
      </c>
      <c r="L23" s="134">
        <f>SUM(L19:L22)</f>
        <v>82</v>
      </c>
      <c r="R23" s="158"/>
      <c r="S23" s="158"/>
    </row>
    <row r="24" spans="1:19" ht="25.5" customHeight="1" x14ac:dyDescent="0.25">
      <c r="A24" s="54"/>
      <c r="B24" s="4"/>
      <c r="C24" s="4"/>
      <c r="D24" s="4"/>
      <c r="E24" s="4"/>
      <c r="F24" s="4"/>
      <c r="G24" s="4"/>
      <c r="H24" s="4"/>
      <c r="I24" s="4"/>
      <c r="J24" s="55" t="s">
        <v>33</v>
      </c>
      <c r="K24" s="346">
        <f>SUM(K23:L23)</f>
        <v>684.8</v>
      </c>
      <c r="L24" s="347"/>
      <c r="R24" s="345"/>
      <c r="S24" s="345"/>
    </row>
    <row r="25" spans="1:19" ht="24.75" customHeight="1" x14ac:dyDescent="0.25">
      <c r="A25" s="56"/>
      <c r="B25" s="4" t="s">
        <v>606</v>
      </c>
    </row>
    <row r="26" spans="1:19" ht="24.75" customHeight="1" x14ac:dyDescent="0.25">
      <c r="A26" s="56"/>
      <c r="B26" s="4" t="s">
        <v>603</v>
      </c>
    </row>
    <row r="27" spans="1:19" ht="24.75" customHeight="1" x14ac:dyDescent="0.25">
      <c r="A27" s="56"/>
      <c r="B27" s="357" t="s">
        <v>604</v>
      </c>
      <c r="L27" s="4"/>
    </row>
    <row r="28" spans="1:19" ht="24.75" customHeight="1" x14ac:dyDescent="0.25">
      <c r="B28" s="357" t="s">
        <v>605</v>
      </c>
    </row>
    <row r="29" spans="1:19" ht="24" customHeight="1" x14ac:dyDescent="0.25">
      <c r="L29" s="4"/>
    </row>
    <row r="30" spans="1:19" ht="24" customHeight="1" x14ac:dyDescent="0.25"/>
    <row r="31" spans="1:19" ht="24" customHeight="1" x14ac:dyDescent="0.25"/>
    <row r="32" spans="1:19" ht="24" customHeight="1" x14ac:dyDescent="0.25"/>
    <row r="33" ht="24" customHeight="1" x14ac:dyDescent="0.25"/>
    <row r="34" ht="24" customHeight="1" x14ac:dyDescent="0.25"/>
    <row r="35" ht="24" customHeight="1" x14ac:dyDescent="0.25"/>
    <row r="36" ht="24" customHeight="1" x14ac:dyDescent="0.25"/>
    <row r="37" ht="26.25" customHeight="1" x14ac:dyDescent="0.25"/>
    <row r="38" ht="26.25" customHeight="1" x14ac:dyDescent="0.25"/>
    <row r="39" ht="26.25" customHeight="1" x14ac:dyDescent="0.25"/>
    <row r="40" ht="24.75" customHeight="1" x14ac:dyDescent="0.25"/>
  </sheetData>
  <mergeCells count="8">
    <mergeCell ref="R24:S24"/>
    <mergeCell ref="A2:K3"/>
    <mergeCell ref="K24:L24"/>
    <mergeCell ref="B9:B10"/>
    <mergeCell ref="A9:A10"/>
    <mergeCell ref="M5:M7"/>
    <mergeCell ref="M8:M11"/>
    <mergeCell ref="M12:M14"/>
  </mergeCells>
  <pageMargins left="0.7" right="0.7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F9AA7-1BDE-4108-8914-1377E7938D9B}">
  <sheetPr>
    <pageSetUpPr fitToPage="1"/>
  </sheetPr>
  <dimension ref="A1:O242"/>
  <sheetViews>
    <sheetView tabSelected="1" topLeftCell="A218" workbookViewId="0">
      <selection activeCell="M232" sqref="M232"/>
    </sheetView>
  </sheetViews>
  <sheetFormatPr defaultRowHeight="13.2" x14ac:dyDescent="0.25"/>
  <cols>
    <col min="1" max="1" width="3.88671875" customWidth="1"/>
    <col min="2" max="2" width="22.6640625" customWidth="1"/>
    <col min="3" max="3" width="11.88671875" customWidth="1"/>
    <col min="4" max="4" width="12" customWidth="1"/>
    <col min="9" max="9" width="13.33203125" customWidth="1"/>
    <col min="10" max="10" width="13" customWidth="1"/>
    <col min="11" max="11" width="20.6640625" customWidth="1"/>
  </cols>
  <sheetData>
    <row r="1" spans="1:15" x14ac:dyDescent="0.25">
      <c r="A1" s="192"/>
      <c r="B1" s="193"/>
      <c r="C1" s="193"/>
      <c r="D1" s="193"/>
      <c r="E1" s="193"/>
      <c r="F1" s="193"/>
      <c r="G1" s="193"/>
      <c r="H1" s="194"/>
      <c r="I1" s="195"/>
      <c r="J1" s="192"/>
      <c r="K1" s="196"/>
      <c r="L1" s="197"/>
      <c r="M1" s="197"/>
      <c r="N1" s="3"/>
      <c r="O1" s="3"/>
    </row>
    <row r="2" spans="1:15" x14ac:dyDescent="0.25">
      <c r="A2" s="355" t="s">
        <v>143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"/>
      <c r="O2" s="3"/>
    </row>
    <row r="3" spans="1:15" x14ac:dyDescent="0.25">
      <c r="A3" s="355" t="s">
        <v>144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"/>
      <c r="O3" s="3"/>
    </row>
    <row r="4" spans="1:15" x14ac:dyDescent="0.25">
      <c r="A4" s="192"/>
      <c r="B4" s="198"/>
      <c r="C4" s="198"/>
      <c r="D4" s="198"/>
      <c r="E4" s="198"/>
      <c r="F4" s="198"/>
      <c r="G4" s="198"/>
      <c r="H4" s="194"/>
      <c r="I4" s="195"/>
      <c r="J4" s="192"/>
      <c r="K4" s="196"/>
      <c r="L4" s="197"/>
      <c r="M4" s="197"/>
      <c r="N4" s="3"/>
      <c r="O4" s="3"/>
    </row>
    <row r="5" spans="1:15" ht="58.2" thickBot="1" x14ac:dyDescent="0.3">
      <c r="A5" s="199" t="s">
        <v>145</v>
      </c>
      <c r="B5" s="200" t="s">
        <v>146</v>
      </c>
      <c r="C5" s="200" t="s">
        <v>147</v>
      </c>
      <c r="D5" s="200" t="s">
        <v>148</v>
      </c>
      <c r="E5" s="200" t="s">
        <v>149</v>
      </c>
      <c r="F5" s="200" t="s">
        <v>150</v>
      </c>
      <c r="G5" s="201" t="s">
        <v>151</v>
      </c>
      <c r="H5" s="200" t="s">
        <v>152</v>
      </c>
      <c r="I5" s="202" t="s">
        <v>4</v>
      </c>
      <c r="J5" s="200" t="s">
        <v>5</v>
      </c>
      <c r="K5" s="203" t="s">
        <v>137</v>
      </c>
      <c r="L5" s="21" t="s">
        <v>153</v>
      </c>
      <c r="M5" s="21" t="s">
        <v>154</v>
      </c>
      <c r="N5" s="3"/>
      <c r="O5" s="3"/>
    </row>
    <row r="6" spans="1:15" ht="22.8" x14ac:dyDescent="0.25">
      <c r="A6" s="174">
        <v>1</v>
      </c>
      <c r="B6" s="191" t="s">
        <v>155</v>
      </c>
      <c r="C6" s="191" t="s">
        <v>142</v>
      </c>
      <c r="D6" s="191" t="s">
        <v>156</v>
      </c>
      <c r="E6" s="204" t="s">
        <v>157</v>
      </c>
      <c r="F6" s="165" t="s">
        <v>158</v>
      </c>
      <c r="G6" s="205">
        <v>7</v>
      </c>
      <c r="H6" s="165">
        <v>88158319</v>
      </c>
      <c r="I6" s="170">
        <v>8542228873</v>
      </c>
      <c r="J6" s="170">
        <v>811685734</v>
      </c>
      <c r="K6" s="164" t="s">
        <v>159</v>
      </c>
      <c r="L6" s="206">
        <f>20*2</f>
        <v>40</v>
      </c>
      <c r="M6" s="207"/>
      <c r="N6" s="3"/>
      <c r="O6" s="3"/>
    </row>
    <row r="7" spans="1:15" ht="22.8" x14ac:dyDescent="0.25">
      <c r="A7" s="174">
        <v>2</v>
      </c>
      <c r="B7" s="171" t="s">
        <v>160</v>
      </c>
      <c r="C7" s="191" t="s">
        <v>142</v>
      </c>
      <c r="D7" s="171" t="s">
        <v>156</v>
      </c>
      <c r="E7" s="204" t="s">
        <v>157</v>
      </c>
      <c r="F7" s="170" t="s">
        <v>158</v>
      </c>
      <c r="G7" s="208">
        <v>3</v>
      </c>
      <c r="H7" s="170">
        <v>80105172</v>
      </c>
      <c r="I7" s="170">
        <v>8542228873</v>
      </c>
      <c r="J7" s="170">
        <v>811685734</v>
      </c>
      <c r="K7" s="164" t="s">
        <v>161</v>
      </c>
      <c r="L7" s="206">
        <f>0.9*2</f>
        <v>1.8</v>
      </c>
      <c r="M7" s="207"/>
      <c r="N7" s="3"/>
      <c r="O7" s="3"/>
    </row>
    <row r="8" spans="1:15" ht="22.8" x14ac:dyDescent="0.25">
      <c r="A8" s="174">
        <v>3</v>
      </c>
      <c r="B8" s="191" t="s">
        <v>162</v>
      </c>
      <c r="C8" s="191" t="s">
        <v>142</v>
      </c>
      <c r="D8" s="191" t="s">
        <v>156</v>
      </c>
      <c r="E8" s="204" t="s">
        <v>157</v>
      </c>
      <c r="F8" s="165" t="s">
        <v>158</v>
      </c>
      <c r="G8" s="205">
        <v>7</v>
      </c>
      <c r="H8" s="165">
        <v>70602448</v>
      </c>
      <c r="I8" s="170">
        <v>8542228873</v>
      </c>
      <c r="J8" s="170">
        <v>811685734</v>
      </c>
      <c r="K8" s="164" t="s">
        <v>163</v>
      </c>
      <c r="L8" s="206">
        <f>14*2</f>
        <v>28</v>
      </c>
      <c r="M8" s="207"/>
      <c r="N8" s="3"/>
      <c r="O8" s="3"/>
    </row>
    <row r="9" spans="1:15" ht="22.8" x14ac:dyDescent="0.25">
      <c r="A9" s="174">
        <v>4</v>
      </c>
      <c r="B9" s="191" t="s">
        <v>164</v>
      </c>
      <c r="C9" s="191" t="s">
        <v>142</v>
      </c>
      <c r="D9" s="191" t="s">
        <v>156</v>
      </c>
      <c r="E9" s="204" t="s">
        <v>157</v>
      </c>
      <c r="F9" s="165" t="s">
        <v>158</v>
      </c>
      <c r="G9" s="205">
        <v>9</v>
      </c>
      <c r="H9" s="165">
        <v>70602206</v>
      </c>
      <c r="I9" s="170">
        <v>8542228873</v>
      </c>
      <c r="J9" s="170">
        <v>811685734</v>
      </c>
      <c r="K9" s="164" t="s">
        <v>165</v>
      </c>
      <c r="L9" s="206">
        <f>22*2</f>
        <v>44</v>
      </c>
      <c r="M9" s="209"/>
      <c r="N9" s="3"/>
      <c r="O9" s="3"/>
    </row>
    <row r="10" spans="1:15" ht="22.8" x14ac:dyDescent="0.25">
      <c r="A10" s="174">
        <v>5</v>
      </c>
      <c r="B10" s="191" t="s">
        <v>166</v>
      </c>
      <c r="C10" s="191" t="s">
        <v>142</v>
      </c>
      <c r="D10" s="191" t="s">
        <v>156</v>
      </c>
      <c r="E10" s="204" t="s">
        <v>157</v>
      </c>
      <c r="F10" s="165" t="s">
        <v>158</v>
      </c>
      <c r="G10" s="205">
        <v>9</v>
      </c>
      <c r="H10" s="165">
        <v>9593407</v>
      </c>
      <c r="I10" s="170">
        <v>8542228873</v>
      </c>
      <c r="J10" s="170">
        <v>811685734</v>
      </c>
      <c r="K10" s="164" t="s">
        <v>167</v>
      </c>
      <c r="L10" s="206">
        <f>10*2</f>
        <v>20</v>
      </c>
      <c r="M10" s="207"/>
      <c r="N10" s="3"/>
      <c r="O10" s="3"/>
    </row>
    <row r="11" spans="1:15" ht="22.8" x14ac:dyDescent="0.25">
      <c r="A11" s="174">
        <v>6</v>
      </c>
      <c r="B11" s="191" t="s">
        <v>168</v>
      </c>
      <c r="C11" s="191" t="s">
        <v>142</v>
      </c>
      <c r="D11" s="191" t="s">
        <v>156</v>
      </c>
      <c r="E11" s="204" t="s">
        <v>157</v>
      </c>
      <c r="F11" s="165" t="s">
        <v>158</v>
      </c>
      <c r="G11" s="205">
        <v>5</v>
      </c>
      <c r="H11" s="165">
        <v>63720448</v>
      </c>
      <c r="I11" s="170">
        <v>8542228873</v>
      </c>
      <c r="J11" s="170">
        <v>811685734</v>
      </c>
      <c r="K11" s="164" t="s">
        <v>169</v>
      </c>
      <c r="L11" s="206">
        <f>3.8*2</f>
        <v>7.6</v>
      </c>
      <c r="M11" s="207"/>
      <c r="N11" s="3"/>
      <c r="O11" s="3"/>
    </row>
    <row r="12" spans="1:15" ht="22.8" x14ac:dyDescent="0.25">
      <c r="A12" s="174">
        <v>7</v>
      </c>
      <c r="B12" s="191" t="s">
        <v>170</v>
      </c>
      <c r="C12" s="191" t="s">
        <v>142</v>
      </c>
      <c r="D12" s="191" t="s">
        <v>156</v>
      </c>
      <c r="E12" s="204" t="s">
        <v>157</v>
      </c>
      <c r="F12" s="165" t="s">
        <v>158</v>
      </c>
      <c r="G12" s="205">
        <v>2</v>
      </c>
      <c r="H12" s="165">
        <v>24982734</v>
      </c>
      <c r="I12" s="170">
        <v>8542228873</v>
      </c>
      <c r="J12" s="170">
        <v>811685734</v>
      </c>
      <c r="K12" s="164" t="s">
        <v>171</v>
      </c>
      <c r="L12" s="206">
        <f>3.7*2</f>
        <v>7.4</v>
      </c>
      <c r="M12" s="207"/>
      <c r="N12" s="3"/>
      <c r="O12" s="3"/>
    </row>
    <row r="13" spans="1:15" ht="22.8" x14ac:dyDescent="0.25">
      <c r="A13" s="174">
        <v>8</v>
      </c>
      <c r="B13" s="191" t="s">
        <v>172</v>
      </c>
      <c r="C13" s="191" t="s">
        <v>142</v>
      </c>
      <c r="D13" s="191" t="s">
        <v>156</v>
      </c>
      <c r="E13" s="204" t="s">
        <v>157</v>
      </c>
      <c r="F13" s="165" t="s">
        <v>158</v>
      </c>
      <c r="G13" s="205">
        <v>17</v>
      </c>
      <c r="H13" s="165">
        <v>56291062</v>
      </c>
      <c r="I13" s="170">
        <v>8542228873</v>
      </c>
      <c r="J13" s="170">
        <v>811685734</v>
      </c>
      <c r="K13" s="164" t="s">
        <v>173</v>
      </c>
      <c r="L13" s="206">
        <f>13.8*2</f>
        <v>27.6</v>
      </c>
      <c r="M13" s="207"/>
      <c r="N13" s="3"/>
      <c r="O13" s="3"/>
    </row>
    <row r="14" spans="1:15" ht="22.8" x14ac:dyDescent="0.25">
      <c r="A14" s="174">
        <v>9</v>
      </c>
      <c r="B14" s="191" t="s">
        <v>174</v>
      </c>
      <c r="C14" s="191" t="s">
        <v>142</v>
      </c>
      <c r="D14" s="191" t="s">
        <v>156</v>
      </c>
      <c r="E14" s="204" t="s">
        <v>157</v>
      </c>
      <c r="F14" s="165" t="s">
        <v>158</v>
      </c>
      <c r="G14" s="205">
        <v>4</v>
      </c>
      <c r="H14" s="165">
        <v>9676277</v>
      </c>
      <c r="I14" s="170">
        <v>8542228873</v>
      </c>
      <c r="J14" s="170">
        <v>811685734</v>
      </c>
      <c r="K14" s="164" t="s">
        <v>175</v>
      </c>
      <c r="L14" s="206">
        <f>32*2</f>
        <v>64</v>
      </c>
      <c r="M14" s="207"/>
      <c r="N14" s="3"/>
      <c r="O14" s="3"/>
    </row>
    <row r="15" spans="1:15" ht="22.8" x14ac:dyDescent="0.25">
      <c r="A15" s="174">
        <v>10</v>
      </c>
      <c r="B15" s="191" t="s">
        <v>176</v>
      </c>
      <c r="C15" s="191" t="s">
        <v>142</v>
      </c>
      <c r="D15" s="191" t="s">
        <v>156</v>
      </c>
      <c r="E15" s="204" t="s">
        <v>157</v>
      </c>
      <c r="F15" s="165" t="s">
        <v>158</v>
      </c>
      <c r="G15" s="205">
        <v>1</v>
      </c>
      <c r="H15" s="165">
        <v>23029200</v>
      </c>
      <c r="I15" s="170">
        <v>8542228873</v>
      </c>
      <c r="J15" s="170">
        <v>811685734</v>
      </c>
      <c r="K15" s="164" t="s">
        <v>177</v>
      </c>
      <c r="L15" s="206">
        <f>9*2</f>
        <v>18</v>
      </c>
      <c r="M15" s="207"/>
      <c r="N15" s="3"/>
      <c r="O15" s="3"/>
    </row>
    <row r="16" spans="1:15" ht="22.8" x14ac:dyDescent="0.25">
      <c r="A16" s="174">
        <v>11</v>
      </c>
      <c r="B16" s="191" t="s">
        <v>178</v>
      </c>
      <c r="C16" s="191" t="s">
        <v>142</v>
      </c>
      <c r="D16" s="191" t="s">
        <v>156</v>
      </c>
      <c r="E16" s="204" t="s">
        <v>157</v>
      </c>
      <c r="F16" s="165" t="s">
        <v>158</v>
      </c>
      <c r="G16" s="205">
        <v>5</v>
      </c>
      <c r="H16" s="210">
        <v>12193381</v>
      </c>
      <c r="I16" s="170">
        <v>8542228873</v>
      </c>
      <c r="J16" s="170">
        <v>811685734</v>
      </c>
      <c r="K16" s="164" t="s">
        <v>179</v>
      </c>
      <c r="L16" s="206">
        <f>11*2</f>
        <v>22</v>
      </c>
      <c r="M16" s="207"/>
      <c r="N16" s="3"/>
      <c r="O16" s="3"/>
    </row>
    <row r="17" spans="1:15" ht="22.8" x14ac:dyDescent="0.25">
      <c r="A17" s="174">
        <v>12</v>
      </c>
      <c r="B17" s="191" t="s">
        <v>180</v>
      </c>
      <c r="C17" s="191" t="s">
        <v>142</v>
      </c>
      <c r="D17" s="191" t="s">
        <v>156</v>
      </c>
      <c r="E17" s="204" t="s">
        <v>157</v>
      </c>
      <c r="F17" s="165" t="s">
        <v>158</v>
      </c>
      <c r="G17" s="205">
        <v>4</v>
      </c>
      <c r="H17" s="165">
        <v>90573397</v>
      </c>
      <c r="I17" s="170">
        <v>8542228873</v>
      </c>
      <c r="J17" s="170">
        <v>811685734</v>
      </c>
      <c r="K17" s="164" t="s">
        <v>181</v>
      </c>
      <c r="L17" s="206">
        <f>2*2</f>
        <v>4</v>
      </c>
      <c r="M17" s="207"/>
      <c r="N17" s="3"/>
      <c r="O17" s="3"/>
    </row>
    <row r="18" spans="1:15" ht="22.8" x14ac:dyDescent="0.25">
      <c r="A18" s="174">
        <v>13</v>
      </c>
      <c r="B18" s="191" t="s">
        <v>182</v>
      </c>
      <c r="C18" s="191" t="s">
        <v>142</v>
      </c>
      <c r="D18" s="191" t="s">
        <v>156</v>
      </c>
      <c r="E18" s="204" t="s">
        <v>157</v>
      </c>
      <c r="F18" s="165" t="s">
        <v>158</v>
      </c>
      <c r="G18" s="205">
        <v>17</v>
      </c>
      <c r="H18" s="165">
        <v>56291138</v>
      </c>
      <c r="I18" s="170">
        <v>8542228873</v>
      </c>
      <c r="J18" s="170">
        <v>811685734</v>
      </c>
      <c r="K18" s="164" t="s">
        <v>183</v>
      </c>
      <c r="L18" s="206">
        <f>24.5*2</f>
        <v>49</v>
      </c>
      <c r="M18" s="207"/>
      <c r="N18" s="3"/>
      <c r="O18" s="3"/>
    </row>
    <row r="19" spans="1:15" ht="22.8" x14ac:dyDescent="0.25">
      <c r="A19" s="174">
        <v>14</v>
      </c>
      <c r="B19" s="211" t="s">
        <v>184</v>
      </c>
      <c r="C19" s="191" t="s">
        <v>142</v>
      </c>
      <c r="D19" s="191" t="s">
        <v>156</v>
      </c>
      <c r="E19" s="204" t="s">
        <v>157</v>
      </c>
      <c r="F19" s="212" t="s">
        <v>158</v>
      </c>
      <c r="G19" s="212">
        <v>17</v>
      </c>
      <c r="H19" s="213">
        <v>56195442</v>
      </c>
      <c r="I19" s="170">
        <v>8542228873</v>
      </c>
      <c r="J19" s="170">
        <v>811685734</v>
      </c>
      <c r="K19" s="167" t="s">
        <v>185</v>
      </c>
      <c r="L19" s="206">
        <v>20</v>
      </c>
      <c r="M19" s="209"/>
      <c r="N19" s="3"/>
      <c r="O19" s="3"/>
    </row>
    <row r="20" spans="1:15" ht="22.8" x14ac:dyDescent="0.25">
      <c r="A20" s="174">
        <v>15</v>
      </c>
      <c r="B20" s="191" t="s">
        <v>186</v>
      </c>
      <c r="C20" s="191" t="s">
        <v>142</v>
      </c>
      <c r="D20" s="191" t="s">
        <v>156</v>
      </c>
      <c r="E20" s="204" t="s">
        <v>157</v>
      </c>
      <c r="F20" s="165" t="s">
        <v>158</v>
      </c>
      <c r="G20" s="205">
        <v>1</v>
      </c>
      <c r="H20" s="165">
        <v>26423110</v>
      </c>
      <c r="I20" s="170">
        <v>8542228873</v>
      </c>
      <c r="J20" s="170">
        <v>811685734</v>
      </c>
      <c r="K20" s="164" t="s">
        <v>187</v>
      </c>
      <c r="L20" s="206">
        <f>29*2</f>
        <v>58</v>
      </c>
      <c r="M20" s="207"/>
      <c r="N20" s="3"/>
      <c r="O20" s="3"/>
    </row>
    <row r="21" spans="1:15" ht="22.8" x14ac:dyDescent="0.25">
      <c r="A21" s="174">
        <v>16</v>
      </c>
      <c r="B21" s="191" t="s">
        <v>188</v>
      </c>
      <c r="C21" s="191" t="s">
        <v>142</v>
      </c>
      <c r="D21" s="191" t="s">
        <v>156</v>
      </c>
      <c r="E21" s="204" t="s">
        <v>157</v>
      </c>
      <c r="F21" s="165" t="s">
        <v>158</v>
      </c>
      <c r="G21" s="205">
        <v>9</v>
      </c>
      <c r="H21" s="165">
        <v>9457723</v>
      </c>
      <c r="I21" s="170">
        <v>8542228873</v>
      </c>
      <c r="J21" s="170">
        <v>811685734</v>
      </c>
      <c r="K21" s="164" t="s">
        <v>189</v>
      </c>
      <c r="L21" s="206">
        <f>22.4*2</f>
        <v>44.8</v>
      </c>
      <c r="M21" s="207"/>
      <c r="N21" s="3"/>
      <c r="O21" s="3"/>
    </row>
    <row r="22" spans="1:15" ht="22.8" x14ac:dyDescent="0.25">
      <c r="A22" s="174">
        <v>17</v>
      </c>
      <c r="B22" s="191" t="s">
        <v>190</v>
      </c>
      <c r="C22" s="191" t="s">
        <v>142</v>
      </c>
      <c r="D22" s="191" t="s">
        <v>156</v>
      </c>
      <c r="E22" s="204" t="s">
        <v>157</v>
      </c>
      <c r="F22" s="165" t="s">
        <v>158</v>
      </c>
      <c r="G22" s="205">
        <v>7</v>
      </c>
      <c r="H22" s="165">
        <v>81531600</v>
      </c>
      <c r="I22" s="170">
        <v>8542228873</v>
      </c>
      <c r="J22" s="170">
        <v>811685734</v>
      </c>
      <c r="K22" s="164" t="s">
        <v>191</v>
      </c>
      <c r="L22" s="206">
        <f>7.6*2</f>
        <v>15.2</v>
      </c>
      <c r="M22" s="209"/>
      <c r="N22" s="3"/>
      <c r="O22" s="3"/>
    </row>
    <row r="23" spans="1:15" ht="22.8" x14ac:dyDescent="0.25">
      <c r="A23" s="174">
        <v>18</v>
      </c>
      <c r="B23" s="191" t="s">
        <v>192</v>
      </c>
      <c r="C23" s="191" t="s">
        <v>142</v>
      </c>
      <c r="D23" s="191" t="s">
        <v>156</v>
      </c>
      <c r="E23" s="204" t="s">
        <v>157</v>
      </c>
      <c r="F23" s="165" t="s">
        <v>158</v>
      </c>
      <c r="G23" s="205">
        <v>5</v>
      </c>
      <c r="H23" s="165">
        <v>22505424</v>
      </c>
      <c r="I23" s="170">
        <v>8542228873</v>
      </c>
      <c r="J23" s="170">
        <v>811685734</v>
      </c>
      <c r="K23" s="164" t="s">
        <v>193</v>
      </c>
      <c r="L23" s="206">
        <f>13*2</f>
        <v>26</v>
      </c>
      <c r="M23" s="209"/>
      <c r="N23" s="3"/>
      <c r="O23" s="3"/>
    </row>
    <row r="24" spans="1:15" ht="22.8" x14ac:dyDescent="0.25">
      <c r="A24" s="174">
        <v>19</v>
      </c>
      <c r="B24" s="163" t="s">
        <v>194</v>
      </c>
      <c r="C24" s="191" t="s">
        <v>142</v>
      </c>
      <c r="D24" s="191" t="s">
        <v>156</v>
      </c>
      <c r="E24" s="204" t="s">
        <v>157</v>
      </c>
      <c r="F24" s="214" t="s">
        <v>158</v>
      </c>
      <c r="G24" s="215">
        <v>3</v>
      </c>
      <c r="H24" s="165">
        <v>24558048</v>
      </c>
      <c r="I24" s="170">
        <v>8542228873</v>
      </c>
      <c r="J24" s="216">
        <v>811685734</v>
      </c>
      <c r="K24" s="178" t="s">
        <v>195</v>
      </c>
      <c r="L24" s="206">
        <f>1.8*2</f>
        <v>3.6</v>
      </c>
      <c r="M24" s="207"/>
      <c r="N24" s="3"/>
      <c r="O24" s="3"/>
    </row>
    <row r="25" spans="1:15" ht="22.8" x14ac:dyDescent="0.25">
      <c r="A25" s="174">
        <v>20</v>
      </c>
      <c r="B25" s="191" t="s">
        <v>196</v>
      </c>
      <c r="C25" s="191" t="s">
        <v>142</v>
      </c>
      <c r="D25" s="191" t="s">
        <v>156</v>
      </c>
      <c r="E25" s="204" t="s">
        <v>157</v>
      </c>
      <c r="F25" s="165" t="s">
        <v>158</v>
      </c>
      <c r="G25" s="205">
        <v>9</v>
      </c>
      <c r="H25" s="165">
        <v>9489516</v>
      </c>
      <c r="I25" s="170">
        <v>8542228873</v>
      </c>
      <c r="J25" s="170">
        <v>811685734</v>
      </c>
      <c r="K25" s="164" t="s">
        <v>197</v>
      </c>
      <c r="L25" s="206">
        <f>16*2</f>
        <v>32</v>
      </c>
      <c r="M25" s="207"/>
      <c r="N25" s="3"/>
      <c r="O25" s="3"/>
    </row>
    <row r="26" spans="1:15" ht="22.8" x14ac:dyDescent="0.25">
      <c r="A26" s="174">
        <v>21</v>
      </c>
      <c r="B26" s="191" t="s">
        <v>198</v>
      </c>
      <c r="C26" s="191" t="s">
        <v>142</v>
      </c>
      <c r="D26" s="191" t="s">
        <v>156</v>
      </c>
      <c r="E26" s="204" t="s">
        <v>157</v>
      </c>
      <c r="F26" s="165" t="s">
        <v>158</v>
      </c>
      <c r="G26" s="205">
        <v>4</v>
      </c>
      <c r="H26" s="165">
        <v>9648890</v>
      </c>
      <c r="I26" s="170">
        <v>8542228873</v>
      </c>
      <c r="J26" s="170">
        <v>811685734</v>
      </c>
      <c r="K26" s="164" t="s">
        <v>199</v>
      </c>
      <c r="L26" s="206">
        <f>9*2</f>
        <v>18</v>
      </c>
      <c r="M26" s="207"/>
      <c r="N26" s="3"/>
      <c r="O26" s="3"/>
    </row>
    <row r="27" spans="1:15" ht="22.8" x14ac:dyDescent="0.25">
      <c r="A27" s="174">
        <v>22</v>
      </c>
      <c r="B27" s="171" t="s">
        <v>200</v>
      </c>
      <c r="C27" s="191" t="s">
        <v>142</v>
      </c>
      <c r="D27" s="171" t="s">
        <v>201</v>
      </c>
      <c r="E27" s="204" t="s">
        <v>157</v>
      </c>
      <c r="F27" s="170" t="s">
        <v>158</v>
      </c>
      <c r="G27" s="208">
        <v>11</v>
      </c>
      <c r="H27" s="170">
        <v>8099541</v>
      </c>
      <c r="I27" s="170">
        <v>8542228873</v>
      </c>
      <c r="J27" s="170">
        <v>811685734</v>
      </c>
      <c r="K27" s="164" t="s">
        <v>202</v>
      </c>
      <c r="L27" s="206">
        <f>21*2</f>
        <v>42</v>
      </c>
      <c r="M27" s="207"/>
      <c r="N27" s="3"/>
      <c r="O27" s="3"/>
    </row>
    <row r="28" spans="1:15" ht="22.8" x14ac:dyDescent="0.25">
      <c r="A28" s="174">
        <v>23</v>
      </c>
      <c r="B28" s="191" t="s">
        <v>203</v>
      </c>
      <c r="C28" s="191" t="s">
        <v>142</v>
      </c>
      <c r="D28" s="191" t="s">
        <v>156</v>
      </c>
      <c r="E28" s="204" t="s">
        <v>157</v>
      </c>
      <c r="F28" s="165" t="s">
        <v>158</v>
      </c>
      <c r="G28" s="205">
        <v>14</v>
      </c>
      <c r="H28" s="165">
        <v>8983777</v>
      </c>
      <c r="I28" s="170">
        <v>8542228873</v>
      </c>
      <c r="J28" s="170">
        <v>811685734</v>
      </c>
      <c r="K28" s="164" t="s">
        <v>204</v>
      </c>
      <c r="L28" s="206">
        <f>18*2</f>
        <v>36</v>
      </c>
      <c r="M28" s="207"/>
      <c r="N28" s="3"/>
      <c r="O28" s="3"/>
    </row>
    <row r="29" spans="1:15" ht="22.8" x14ac:dyDescent="0.25">
      <c r="A29" s="174">
        <v>24</v>
      </c>
      <c r="B29" s="191" t="s">
        <v>203</v>
      </c>
      <c r="C29" s="191" t="s">
        <v>142</v>
      </c>
      <c r="D29" s="191" t="s">
        <v>156</v>
      </c>
      <c r="E29" s="204" t="s">
        <v>157</v>
      </c>
      <c r="F29" s="165" t="s">
        <v>158</v>
      </c>
      <c r="G29" s="205">
        <v>17</v>
      </c>
      <c r="H29" s="165">
        <v>10041167</v>
      </c>
      <c r="I29" s="170">
        <v>8542228873</v>
      </c>
      <c r="J29" s="170">
        <v>811685734</v>
      </c>
      <c r="K29" s="164" t="s">
        <v>205</v>
      </c>
      <c r="L29" s="206">
        <f>58*2</f>
        <v>116</v>
      </c>
      <c r="M29" s="207"/>
      <c r="N29" s="3"/>
      <c r="O29" s="3"/>
    </row>
    <row r="30" spans="1:15" ht="22.8" x14ac:dyDescent="0.25">
      <c r="A30" s="174">
        <v>25</v>
      </c>
      <c r="B30" s="191" t="s">
        <v>206</v>
      </c>
      <c r="C30" s="191" t="s">
        <v>142</v>
      </c>
      <c r="D30" s="191" t="s">
        <v>156</v>
      </c>
      <c r="E30" s="204" t="s">
        <v>157</v>
      </c>
      <c r="F30" s="165" t="s">
        <v>158</v>
      </c>
      <c r="G30" s="205">
        <v>7</v>
      </c>
      <c r="H30" s="165">
        <v>8754658</v>
      </c>
      <c r="I30" s="170">
        <v>8542228873</v>
      </c>
      <c r="J30" s="170">
        <v>811685734</v>
      </c>
      <c r="K30" s="164" t="s">
        <v>207</v>
      </c>
      <c r="L30" s="206">
        <f>16*2</f>
        <v>32</v>
      </c>
      <c r="M30" s="207"/>
      <c r="N30" s="3"/>
      <c r="O30" s="3"/>
    </row>
    <row r="31" spans="1:15" ht="22.8" x14ac:dyDescent="0.25">
      <c r="A31" s="174">
        <v>26</v>
      </c>
      <c r="B31" s="191" t="s">
        <v>208</v>
      </c>
      <c r="C31" s="191" t="s">
        <v>142</v>
      </c>
      <c r="D31" s="191" t="s">
        <v>156</v>
      </c>
      <c r="E31" s="204" t="s">
        <v>157</v>
      </c>
      <c r="F31" s="165" t="s">
        <v>158</v>
      </c>
      <c r="G31" s="205">
        <v>5</v>
      </c>
      <c r="H31" s="165">
        <v>90565836</v>
      </c>
      <c r="I31" s="170">
        <v>8542228873</v>
      </c>
      <c r="J31" s="170">
        <v>811685734</v>
      </c>
      <c r="K31" s="164" t="s">
        <v>209</v>
      </c>
      <c r="L31" s="206">
        <f>3*2</f>
        <v>6</v>
      </c>
      <c r="M31" s="207"/>
      <c r="N31" s="3"/>
      <c r="O31" s="3"/>
    </row>
    <row r="32" spans="1:15" ht="22.8" x14ac:dyDescent="0.25">
      <c r="A32" s="174">
        <v>27</v>
      </c>
      <c r="B32" s="191" t="s">
        <v>210</v>
      </c>
      <c r="C32" s="191" t="s">
        <v>142</v>
      </c>
      <c r="D32" s="191" t="s">
        <v>156</v>
      </c>
      <c r="E32" s="204" t="s">
        <v>157</v>
      </c>
      <c r="F32" s="165" t="s">
        <v>158</v>
      </c>
      <c r="G32" s="205">
        <v>7</v>
      </c>
      <c r="H32" s="165">
        <v>6923394</v>
      </c>
      <c r="I32" s="170">
        <v>8542228873</v>
      </c>
      <c r="J32" s="170">
        <v>811685734</v>
      </c>
      <c r="K32" s="164" t="s">
        <v>211</v>
      </c>
      <c r="L32" s="206">
        <f>5.7*2</f>
        <v>11.4</v>
      </c>
      <c r="M32" s="207"/>
      <c r="N32" s="3"/>
      <c r="O32" s="3"/>
    </row>
    <row r="33" spans="1:15" ht="22.8" x14ac:dyDescent="0.25">
      <c r="A33" s="174">
        <v>28</v>
      </c>
      <c r="B33" s="191" t="s">
        <v>212</v>
      </c>
      <c r="C33" s="191" t="s">
        <v>142</v>
      </c>
      <c r="D33" s="191" t="s">
        <v>156</v>
      </c>
      <c r="E33" s="204" t="s">
        <v>157</v>
      </c>
      <c r="F33" s="165" t="s">
        <v>158</v>
      </c>
      <c r="G33" s="205">
        <v>11</v>
      </c>
      <c r="H33" s="164" t="s">
        <v>213</v>
      </c>
      <c r="I33" s="170">
        <v>8542228873</v>
      </c>
      <c r="J33" s="170">
        <v>811685734</v>
      </c>
      <c r="K33" s="164" t="s">
        <v>214</v>
      </c>
      <c r="L33" s="206">
        <f>4.5*2</f>
        <v>9</v>
      </c>
      <c r="M33" s="209"/>
      <c r="N33" s="3"/>
      <c r="O33" s="3"/>
    </row>
    <row r="34" spans="1:15" ht="22.8" x14ac:dyDescent="0.25">
      <c r="A34" s="174">
        <v>29</v>
      </c>
      <c r="B34" s="191" t="s">
        <v>215</v>
      </c>
      <c r="C34" s="191" t="s">
        <v>142</v>
      </c>
      <c r="D34" s="191" t="s">
        <v>156</v>
      </c>
      <c r="E34" s="204" t="s">
        <v>157</v>
      </c>
      <c r="F34" s="165" t="s">
        <v>158</v>
      </c>
      <c r="G34" s="205">
        <v>7</v>
      </c>
      <c r="H34" s="165">
        <v>66255166</v>
      </c>
      <c r="I34" s="170">
        <v>8542228873</v>
      </c>
      <c r="J34" s="170">
        <v>811685734</v>
      </c>
      <c r="K34" s="164" t="s">
        <v>216</v>
      </c>
      <c r="L34" s="206">
        <f>9.8*2</f>
        <v>19.600000000000001</v>
      </c>
      <c r="M34" s="207"/>
      <c r="N34" s="3"/>
      <c r="O34" s="3"/>
    </row>
    <row r="35" spans="1:15" ht="22.8" x14ac:dyDescent="0.25">
      <c r="A35" s="174">
        <v>30</v>
      </c>
      <c r="B35" s="191" t="s">
        <v>217</v>
      </c>
      <c r="C35" s="191" t="s">
        <v>142</v>
      </c>
      <c r="D35" s="191" t="s">
        <v>156</v>
      </c>
      <c r="E35" s="204" t="s">
        <v>157</v>
      </c>
      <c r="F35" s="165" t="s">
        <v>158</v>
      </c>
      <c r="G35" s="205">
        <v>9</v>
      </c>
      <c r="H35" s="165">
        <v>63665735</v>
      </c>
      <c r="I35" s="170">
        <v>8542228873</v>
      </c>
      <c r="J35" s="170">
        <v>811685734</v>
      </c>
      <c r="K35" s="164" t="s">
        <v>218</v>
      </c>
      <c r="L35" s="206">
        <f>23*2</f>
        <v>46</v>
      </c>
      <c r="M35" s="207"/>
      <c r="N35" s="3"/>
      <c r="O35" s="3"/>
    </row>
    <row r="36" spans="1:15" ht="22.8" x14ac:dyDescent="0.25">
      <c r="A36" s="174">
        <v>31</v>
      </c>
      <c r="B36" s="191" t="s">
        <v>219</v>
      </c>
      <c r="C36" s="191" t="s">
        <v>142</v>
      </c>
      <c r="D36" s="191" t="s">
        <v>156</v>
      </c>
      <c r="E36" s="204" t="s">
        <v>157</v>
      </c>
      <c r="F36" s="165" t="s">
        <v>158</v>
      </c>
      <c r="G36" s="205">
        <v>5</v>
      </c>
      <c r="H36" s="165">
        <v>9648495</v>
      </c>
      <c r="I36" s="170">
        <v>8542228873</v>
      </c>
      <c r="J36" s="170">
        <v>811685734</v>
      </c>
      <c r="K36" s="164" t="s">
        <v>220</v>
      </c>
      <c r="L36" s="206">
        <f>17*2</f>
        <v>34</v>
      </c>
      <c r="M36" s="207"/>
      <c r="N36" s="3"/>
      <c r="O36" s="3"/>
    </row>
    <row r="37" spans="1:15" ht="22.8" x14ac:dyDescent="0.25">
      <c r="A37" s="174">
        <v>32</v>
      </c>
      <c r="B37" s="191" t="s">
        <v>221</v>
      </c>
      <c r="C37" s="191" t="s">
        <v>142</v>
      </c>
      <c r="D37" s="191" t="s">
        <v>156</v>
      </c>
      <c r="E37" s="204" t="s">
        <v>157</v>
      </c>
      <c r="F37" s="165" t="s">
        <v>158</v>
      </c>
      <c r="G37" s="205">
        <v>5</v>
      </c>
      <c r="H37" s="165">
        <v>9431556</v>
      </c>
      <c r="I37" s="170">
        <v>8542228873</v>
      </c>
      <c r="J37" s="170">
        <v>811685734</v>
      </c>
      <c r="K37" s="164" t="s">
        <v>222</v>
      </c>
      <c r="L37" s="206">
        <f>5*2</f>
        <v>10</v>
      </c>
      <c r="M37" s="207"/>
      <c r="N37" s="3"/>
      <c r="O37" s="3"/>
    </row>
    <row r="38" spans="1:15" ht="22.8" x14ac:dyDescent="0.25">
      <c r="A38" s="174">
        <v>33</v>
      </c>
      <c r="B38" s="163" t="s">
        <v>223</v>
      </c>
      <c r="C38" s="191" t="s">
        <v>142</v>
      </c>
      <c r="D38" s="163" t="s">
        <v>156</v>
      </c>
      <c r="E38" s="204" t="s">
        <v>157</v>
      </c>
      <c r="F38" s="214" t="s">
        <v>158</v>
      </c>
      <c r="G38" s="215">
        <v>4</v>
      </c>
      <c r="H38" s="162">
        <v>11119401</v>
      </c>
      <c r="I38" s="217">
        <v>8542228873</v>
      </c>
      <c r="J38" s="170">
        <v>811685734</v>
      </c>
      <c r="K38" s="164" t="s">
        <v>161</v>
      </c>
      <c r="L38" s="206">
        <f>9*2</f>
        <v>18</v>
      </c>
      <c r="M38" s="209"/>
      <c r="N38" s="3"/>
      <c r="O38" s="3"/>
    </row>
    <row r="39" spans="1:15" ht="22.8" x14ac:dyDescent="0.25">
      <c r="A39" s="218">
        <v>34</v>
      </c>
      <c r="B39" s="219" t="s">
        <v>224</v>
      </c>
      <c r="C39" s="220" t="s">
        <v>142</v>
      </c>
      <c r="D39" s="219" t="s">
        <v>156</v>
      </c>
      <c r="E39" s="221" t="s">
        <v>157</v>
      </c>
      <c r="F39" s="222" t="s">
        <v>6</v>
      </c>
      <c r="G39" s="223">
        <v>5</v>
      </c>
      <c r="H39" s="224">
        <v>6597326</v>
      </c>
      <c r="I39" s="225">
        <v>8542228873</v>
      </c>
      <c r="J39" s="226">
        <v>811685734</v>
      </c>
      <c r="K39" s="227" t="s">
        <v>225</v>
      </c>
      <c r="L39" s="228">
        <f>4.8*2</f>
        <v>9.6</v>
      </c>
      <c r="M39" s="229"/>
      <c r="N39" s="3"/>
      <c r="O39" s="3"/>
    </row>
    <row r="40" spans="1:15" ht="22.8" x14ac:dyDescent="0.25">
      <c r="A40" s="174">
        <v>35</v>
      </c>
      <c r="B40" s="191" t="s">
        <v>226</v>
      </c>
      <c r="C40" s="191" t="s">
        <v>142</v>
      </c>
      <c r="D40" s="191" t="s">
        <v>156</v>
      </c>
      <c r="E40" s="204" t="s">
        <v>157</v>
      </c>
      <c r="F40" s="165" t="s">
        <v>158</v>
      </c>
      <c r="G40" s="205">
        <v>14</v>
      </c>
      <c r="H40" s="165">
        <v>9678223</v>
      </c>
      <c r="I40" s="170">
        <v>8542228873</v>
      </c>
      <c r="J40" s="170">
        <v>811685734</v>
      </c>
      <c r="K40" s="164" t="s">
        <v>227</v>
      </c>
      <c r="L40" s="206">
        <f>14*2</f>
        <v>28</v>
      </c>
      <c r="M40" s="209"/>
      <c r="N40" s="3"/>
      <c r="O40" s="3"/>
    </row>
    <row r="41" spans="1:15" ht="22.8" x14ac:dyDescent="0.25">
      <c r="A41" s="218">
        <v>36</v>
      </c>
      <c r="B41" s="219" t="s">
        <v>228</v>
      </c>
      <c r="C41" s="220" t="s">
        <v>142</v>
      </c>
      <c r="D41" s="219" t="s">
        <v>156</v>
      </c>
      <c r="E41" s="221" t="s">
        <v>157</v>
      </c>
      <c r="F41" s="222" t="s">
        <v>6</v>
      </c>
      <c r="G41" s="223">
        <v>2</v>
      </c>
      <c r="H41" s="224">
        <v>22366513</v>
      </c>
      <c r="I41" s="225">
        <v>8542228873</v>
      </c>
      <c r="J41" s="226">
        <v>811685734</v>
      </c>
      <c r="K41" s="227" t="s">
        <v>229</v>
      </c>
      <c r="L41" s="228">
        <f>0.5*2</f>
        <v>1</v>
      </c>
      <c r="M41" s="229"/>
      <c r="N41" s="3"/>
      <c r="O41" s="3"/>
    </row>
    <row r="42" spans="1:15" ht="22.8" x14ac:dyDescent="0.25">
      <c r="A42" s="174">
        <v>37</v>
      </c>
      <c r="B42" s="191" t="s">
        <v>230</v>
      </c>
      <c r="C42" s="191" t="s">
        <v>142</v>
      </c>
      <c r="D42" s="191" t="s">
        <v>156</v>
      </c>
      <c r="E42" s="204" t="s">
        <v>157</v>
      </c>
      <c r="F42" s="165" t="s">
        <v>158</v>
      </c>
      <c r="G42" s="205">
        <v>9</v>
      </c>
      <c r="H42" s="165">
        <v>81511913</v>
      </c>
      <c r="I42" s="170">
        <v>8542228873</v>
      </c>
      <c r="J42" s="170">
        <v>811685734</v>
      </c>
      <c r="K42" s="164" t="s">
        <v>231</v>
      </c>
      <c r="L42" s="206">
        <f>26*2</f>
        <v>52</v>
      </c>
      <c r="M42" s="209"/>
      <c r="N42" s="3"/>
      <c r="O42" s="3"/>
    </row>
    <row r="43" spans="1:15" ht="22.8" x14ac:dyDescent="0.25">
      <c r="A43" s="174">
        <v>38</v>
      </c>
      <c r="B43" s="191" t="s">
        <v>232</v>
      </c>
      <c r="C43" s="191" t="s">
        <v>142</v>
      </c>
      <c r="D43" s="191" t="s">
        <v>156</v>
      </c>
      <c r="E43" s="204" t="s">
        <v>157</v>
      </c>
      <c r="F43" s="165" t="s">
        <v>158</v>
      </c>
      <c r="G43" s="205">
        <v>1</v>
      </c>
      <c r="H43" s="165">
        <v>26544201</v>
      </c>
      <c r="I43" s="170">
        <v>8542228873</v>
      </c>
      <c r="J43" s="170">
        <v>811685734</v>
      </c>
      <c r="K43" s="164" t="s">
        <v>233</v>
      </c>
      <c r="L43" s="206">
        <f>1*2</f>
        <v>2</v>
      </c>
      <c r="M43" s="209"/>
      <c r="N43" s="3"/>
      <c r="O43" s="230"/>
    </row>
    <row r="44" spans="1:15" ht="22.8" x14ac:dyDescent="0.25">
      <c r="A44" s="174">
        <v>39</v>
      </c>
      <c r="B44" s="231" t="s">
        <v>234</v>
      </c>
      <c r="C44" s="191" t="s">
        <v>142</v>
      </c>
      <c r="D44" s="191" t="s">
        <v>156</v>
      </c>
      <c r="E44" s="204" t="s">
        <v>157</v>
      </c>
      <c r="F44" s="165" t="s">
        <v>158</v>
      </c>
      <c r="G44" s="205">
        <v>14</v>
      </c>
      <c r="H44" s="165">
        <v>11680818</v>
      </c>
      <c r="I44" s="170">
        <v>8542228873</v>
      </c>
      <c r="J44" s="170">
        <v>811685734</v>
      </c>
      <c r="K44" s="164" t="s">
        <v>235</v>
      </c>
      <c r="L44" s="206">
        <f>3.5*2</f>
        <v>7</v>
      </c>
      <c r="M44" s="209"/>
      <c r="N44" s="3"/>
      <c r="O44" s="3"/>
    </row>
    <row r="45" spans="1:15" ht="22.8" x14ac:dyDescent="0.25">
      <c r="A45" s="174">
        <v>40</v>
      </c>
      <c r="B45" s="191" t="s">
        <v>236</v>
      </c>
      <c r="C45" s="191" t="s">
        <v>142</v>
      </c>
      <c r="D45" s="191" t="s">
        <v>156</v>
      </c>
      <c r="E45" s="204" t="s">
        <v>157</v>
      </c>
      <c r="F45" s="165" t="s">
        <v>158</v>
      </c>
      <c r="G45" s="205">
        <v>14</v>
      </c>
      <c r="H45" s="165">
        <v>82670290</v>
      </c>
      <c r="I45" s="170">
        <v>8542228873</v>
      </c>
      <c r="J45" s="170">
        <v>811685734</v>
      </c>
      <c r="K45" s="164" t="s">
        <v>237</v>
      </c>
      <c r="L45" s="206">
        <f>6.8*2</f>
        <v>13.6</v>
      </c>
      <c r="M45" s="209"/>
      <c r="N45" s="3"/>
      <c r="O45" s="3"/>
    </row>
    <row r="46" spans="1:15" ht="22.8" x14ac:dyDescent="0.25">
      <c r="A46" s="174">
        <v>41</v>
      </c>
      <c r="B46" s="191" t="s">
        <v>238</v>
      </c>
      <c r="C46" s="191" t="s">
        <v>142</v>
      </c>
      <c r="D46" s="191" t="s">
        <v>156</v>
      </c>
      <c r="E46" s="204" t="s">
        <v>157</v>
      </c>
      <c r="F46" s="165" t="s">
        <v>158</v>
      </c>
      <c r="G46" s="205">
        <v>9</v>
      </c>
      <c r="H46" s="165">
        <v>9914685</v>
      </c>
      <c r="I46" s="170">
        <v>8542228873</v>
      </c>
      <c r="J46" s="170">
        <v>811685734</v>
      </c>
      <c r="K46" s="164" t="s">
        <v>239</v>
      </c>
      <c r="L46" s="206">
        <f>25*2</f>
        <v>50</v>
      </c>
      <c r="M46" s="209"/>
      <c r="N46" s="3"/>
      <c r="O46" s="3"/>
    </row>
    <row r="47" spans="1:15" ht="22.8" x14ac:dyDescent="0.25">
      <c r="A47" s="174">
        <v>42</v>
      </c>
      <c r="B47" s="191" t="s">
        <v>240</v>
      </c>
      <c r="C47" s="191" t="s">
        <v>142</v>
      </c>
      <c r="D47" s="191" t="s">
        <v>156</v>
      </c>
      <c r="E47" s="204" t="s">
        <v>157</v>
      </c>
      <c r="F47" s="165" t="s">
        <v>158</v>
      </c>
      <c r="G47" s="205">
        <v>4</v>
      </c>
      <c r="H47" s="165">
        <v>10465469</v>
      </c>
      <c r="I47" s="170">
        <v>8542228873</v>
      </c>
      <c r="J47" s="170">
        <v>811685734</v>
      </c>
      <c r="K47" s="164" t="s">
        <v>241</v>
      </c>
      <c r="L47" s="206">
        <f>9*2</f>
        <v>18</v>
      </c>
      <c r="M47" s="209"/>
      <c r="N47" s="3"/>
      <c r="O47" s="3"/>
    </row>
    <row r="48" spans="1:15" ht="22.8" x14ac:dyDescent="0.25">
      <c r="A48" s="174">
        <v>43</v>
      </c>
      <c r="B48" s="191" t="s">
        <v>242</v>
      </c>
      <c r="C48" s="191" t="s">
        <v>142</v>
      </c>
      <c r="D48" s="191" t="s">
        <v>156</v>
      </c>
      <c r="E48" s="204" t="s">
        <v>157</v>
      </c>
      <c r="F48" s="165" t="s">
        <v>158</v>
      </c>
      <c r="G48" s="205">
        <v>11</v>
      </c>
      <c r="H48" s="165">
        <v>9307078</v>
      </c>
      <c r="I48" s="170">
        <v>8542228873</v>
      </c>
      <c r="J48" s="170">
        <v>811685734</v>
      </c>
      <c r="K48" s="164" t="s">
        <v>243</v>
      </c>
      <c r="L48" s="206">
        <f>42*2</f>
        <v>84</v>
      </c>
      <c r="M48" s="209"/>
      <c r="N48" s="3"/>
      <c r="O48" s="3"/>
    </row>
    <row r="49" spans="1:15" ht="22.8" x14ac:dyDescent="0.25">
      <c r="A49" s="174">
        <v>44</v>
      </c>
      <c r="B49" s="191" t="s">
        <v>244</v>
      </c>
      <c r="C49" s="191" t="s">
        <v>142</v>
      </c>
      <c r="D49" s="191" t="s">
        <v>156</v>
      </c>
      <c r="E49" s="204" t="s">
        <v>157</v>
      </c>
      <c r="F49" s="165" t="s">
        <v>158</v>
      </c>
      <c r="G49" s="205">
        <v>2</v>
      </c>
      <c r="H49" s="165">
        <v>81433545</v>
      </c>
      <c r="I49" s="170">
        <v>8542228873</v>
      </c>
      <c r="J49" s="170">
        <v>811685734</v>
      </c>
      <c r="K49" s="164" t="s">
        <v>245</v>
      </c>
      <c r="L49" s="206">
        <f>2*1.5</f>
        <v>3</v>
      </c>
      <c r="M49" s="209"/>
      <c r="N49" s="3"/>
      <c r="O49" s="3"/>
    </row>
    <row r="50" spans="1:15" ht="22.8" x14ac:dyDescent="0.25">
      <c r="A50" s="174">
        <v>45</v>
      </c>
      <c r="B50" s="191" t="s">
        <v>246</v>
      </c>
      <c r="C50" s="191" t="s">
        <v>142</v>
      </c>
      <c r="D50" s="191" t="s">
        <v>156</v>
      </c>
      <c r="E50" s="204" t="s">
        <v>157</v>
      </c>
      <c r="F50" s="165" t="s">
        <v>158</v>
      </c>
      <c r="G50" s="205">
        <v>7</v>
      </c>
      <c r="H50" s="165">
        <v>9055397</v>
      </c>
      <c r="I50" s="170">
        <v>8542228873</v>
      </c>
      <c r="J50" s="170">
        <v>811685734</v>
      </c>
      <c r="K50" s="164" t="s">
        <v>247</v>
      </c>
      <c r="L50" s="206">
        <f>5*2</f>
        <v>10</v>
      </c>
      <c r="M50" s="209"/>
      <c r="N50" s="3"/>
      <c r="O50" s="3"/>
    </row>
    <row r="51" spans="1:15" ht="22.8" x14ac:dyDescent="0.25">
      <c r="A51" s="174">
        <v>46</v>
      </c>
      <c r="B51" s="191" t="s">
        <v>248</v>
      </c>
      <c r="C51" s="191" t="s">
        <v>142</v>
      </c>
      <c r="D51" s="191" t="s">
        <v>156</v>
      </c>
      <c r="E51" s="204" t="s">
        <v>157</v>
      </c>
      <c r="F51" s="165" t="s">
        <v>158</v>
      </c>
      <c r="G51" s="205">
        <v>5</v>
      </c>
      <c r="H51" s="165">
        <v>9593970</v>
      </c>
      <c r="I51" s="170">
        <v>8542228873</v>
      </c>
      <c r="J51" s="170">
        <v>811685734</v>
      </c>
      <c r="K51" s="164" t="s">
        <v>249</v>
      </c>
      <c r="L51" s="206">
        <f>22*2</f>
        <v>44</v>
      </c>
      <c r="M51" s="209"/>
      <c r="N51" s="3"/>
      <c r="O51" s="3"/>
    </row>
    <row r="52" spans="1:15" ht="22.8" x14ac:dyDescent="0.25">
      <c r="A52" s="174">
        <v>47</v>
      </c>
      <c r="B52" s="191" t="s">
        <v>250</v>
      </c>
      <c r="C52" s="191" t="s">
        <v>142</v>
      </c>
      <c r="D52" s="191" t="s">
        <v>156</v>
      </c>
      <c r="E52" s="204" t="s">
        <v>157</v>
      </c>
      <c r="F52" s="165" t="s">
        <v>158</v>
      </c>
      <c r="G52" s="205">
        <v>2</v>
      </c>
      <c r="H52" s="165">
        <v>81497547</v>
      </c>
      <c r="I52" s="170">
        <v>8542228873</v>
      </c>
      <c r="J52" s="170">
        <v>811685734</v>
      </c>
      <c r="K52" s="164" t="s">
        <v>251</v>
      </c>
      <c r="L52" s="206">
        <f>13*2</f>
        <v>26</v>
      </c>
      <c r="M52" s="209"/>
      <c r="N52" s="3"/>
      <c r="O52" s="3"/>
    </row>
    <row r="53" spans="1:15" ht="22.8" x14ac:dyDescent="0.25">
      <c r="A53" s="232">
        <v>48</v>
      </c>
      <c r="B53" s="233" t="s">
        <v>252</v>
      </c>
      <c r="C53" s="233" t="s">
        <v>142</v>
      </c>
      <c r="D53" s="233" t="s">
        <v>156</v>
      </c>
      <c r="E53" s="234" t="s">
        <v>157</v>
      </c>
      <c r="F53" s="235" t="s">
        <v>253</v>
      </c>
      <c r="G53" s="236">
        <v>18</v>
      </c>
      <c r="H53" s="237" t="s">
        <v>254</v>
      </c>
      <c r="I53" s="238">
        <v>8542228873</v>
      </c>
      <c r="J53" s="238">
        <v>811685734</v>
      </c>
      <c r="K53" s="237" t="s">
        <v>255</v>
      </c>
      <c r="L53" s="239">
        <f>23.5*2</f>
        <v>47</v>
      </c>
      <c r="M53" s="240">
        <f>39.5*2</f>
        <v>79</v>
      </c>
      <c r="N53" s="3"/>
      <c r="O53" s="3"/>
    </row>
    <row r="54" spans="1:15" ht="22.8" x14ac:dyDescent="0.25">
      <c r="A54" s="174">
        <v>49</v>
      </c>
      <c r="B54" s="191" t="s">
        <v>256</v>
      </c>
      <c r="C54" s="191" t="s">
        <v>142</v>
      </c>
      <c r="D54" s="191" t="s">
        <v>156</v>
      </c>
      <c r="E54" s="204" t="s">
        <v>157</v>
      </c>
      <c r="F54" s="165" t="s">
        <v>158</v>
      </c>
      <c r="G54" s="205">
        <v>7</v>
      </c>
      <c r="H54" s="165">
        <v>63733136</v>
      </c>
      <c r="I54" s="170">
        <v>8542228873</v>
      </c>
      <c r="J54" s="170">
        <v>811685734</v>
      </c>
      <c r="K54" s="164" t="s">
        <v>257</v>
      </c>
      <c r="L54" s="206">
        <f>15*2</f>
        <v>30</v>
      </c>
      <c r="M54" s="209"/>
      <c r="N54" s="3"/>
      <c r="O54" s="3"/>
    </row>
    <row r="55" spans="1:15" ht="22.8" x14ac:dyDescent="0.25">
      <c r="A55" s="174">
        <v>50</v>
      </c>
      <c r="B55" s="191" t="s">
        <v>258</v>
      </c>
      <c r="C55" s="191" t="s">
        <v>142</v>
      </c>
      <c r="D55" s="191" t="s">
        <v>156</v>
      </c>
      <c r="E55" s="204" t="s">
        <v>157</v>
      </c>
      <c r="F55" s="165" t="s">
        <v>158</v>
      </c>
      <c r="G55" s="205">
        <v>1</v>
      </c>
      <c r="H55" s="165">
        <v>23151488</v>
      </c>
      <c r="I55" s="170">
        <v>8542228873</v>
      </c>
      <c r="J55" s="170">
        <v>811685734</v>
      </c>
      <c r="K55" s="164" t="s">
        <v>259</v>
      </c>
      <c r="L55" s="206">
        <f>3.7*2</f>
        <v>7.4</v>
      </c>
      <c r="M55" s="209"/>
      <c r="N55" s="3"/>
      <c r="O55" s="3"/>
    </row>
    <row r="56" spans="1:15" ht="22.8" x14ac:dyDescent="0.25">
      <c r="A56" s="174">
        <v>51</v>
      </c>
      <c r="B56" s="191" t="s">
        <v>260</v>
      </c>
      <c r="C56" s="191" t="s">
        <v>142</v>
      </c>
      <c r="D56" s="191" t="s">
        <v>156</v>
      </c>
      <c r="E56" s="204" t="s">
        <v>157</v>
      </c>
      <c r="F56" s="165" t="s">
        <v>158</v>
      </c>
      <c r="G56" s="205">
        <v>11</v>
      </c>
      <c r="H56" s="165">
        <v>9676776</v>
      </c>
      <c r="I56" s="170">
        <v>8542228873</v>
      </c>
      <c r="J56" s="170">
        <v>811685734</v>
      </c>
      <c r="K56" s="164" t="s">
        <v>261</v>
      </c>
      <c r="L56" s="206">
        <f>36*2</f>
        <v>72</v>
      </c>
      <c r="M56" s="209"/>
      <c r="N56" s="3"/>
      <c r="O56" s="3"/>
    </row>
    <row r="57" spans="1:15" ht="22.8" x14ac:dyDescent="0.25">
      <c r="A57" s="174">
        <v>52</v>
      </c>
      <c r="B57" s="191" t="s">
        <v>262</v>
      </c>
      <c r="C57" s="191" t="s">
        <v>142</v>
      </c>
      <c r="D57" s="191" t="s">
        <v>156</v>
      </c>
      <c r="E57" s="204" t="s">
        <v>157</v>
      </c>
      <c r="F57" s="165" t="s">
        <v>158</v>
      </c>
      <c r="G57" s="205">
        <v>5</v>
      </c>
      <c r="H57" s="165">
        <v>10053462</v>
      </c>
      <c r="I57" s="170">
        <v>8542228873</v>
      </c>
      <c r="J57" s="170">
        <v>811685734</v>
      </c>
      <c r="K57" s="164" t="s">
        <v>263</v>
      </c>
      <c r="L57" s="206">
        <f>19.6*2</f>
        <v>39.200000000000003</v>
      </c>
      <c r="M57" s="209"/>
      <c r="N57" s="3"/>
      <c r="O57" s="3"/>
    </row>
    <row r="58" spans="1:15" ht="22.8" x14ac:dyDescent="0.25">
      <c r="A58" s="174">
        <v>53</v>
      </c>
      <c r="B58" s="191" t="s">
        <v>264</v>
      </c>
      <c r="C58" s="191" t="s">
        <v>142</v>
      </c>
      <c r="D58" s="191" t="s">
        <v>156</v>
      </c>
      <c r="E58" s="204" t="s">
        <v>157</v>
      </c>
      <c r="F58" s="165" t="s">
        <v>158</v>
      </c>
      <c r="G58" s="205">
        <v>11</v>
      </c>
      <c r="H58" s="165">
        <v>9461271</v>
      </c>
      <c r="I58" s="170">
        <v>8542228873</v>
      </c>
      <c r="J58" s="170">
        <v>811685734</v>
      </c>
      <c r="K58" s="164" t="s">
        <v>265</v>
      </c>
      <c r="L58" s="206">
        <f>22*2</f>
        <v>44</v>
      </c>
      <c r="M58" s="209"/>
      <c r="N58" s="3"/>
      <c r="O58" s="3"/>
    </row>
    <row r="59" spans="1:15" ht="22.8" x14ac:dyDescent="0.25">
      <c r="A59" s="174">
        <v>54</v>
      </c>
      <c r="B59" s="191" t="s">
        <v>266</v>
      </c>
      <c r="C59" s="191" t="s">
        <v>142</v>
      </c>
      <c r="D59" s="191" t="s">
        <v>156</v>
      </c>
      <c r="E59" s="204" t="s">
        <v>157</v>
      </c>
      <c r="F59" s="165" t="s">
        <v>158</v>
      </c>
      <c r="G59" s="205">
        <v>3</v>
      </c>
      <c r="H59" s="165">
        <v>24997357</v>
      </c>
      <c r="I59" s="170">
        <v>8542228873</v>
      </c>
      <c r="J59" s="170">
        <v>811685734</v>
      </c>
      <c r="K59" s="164" t="s">
        <v>267</v>
      </c>
      <c r="L59" s="206">
        <f>7.5*2</f>
        <v>15</v>
      </c>
      <c r="M59" s="209"/>
      <c r="N59" s="3"/>
      <c r="O59" s="3"/>
    </row>
    <row r="60" spans="1:15" ht="22.8" x14ac:dyDescent="0.25">
      <c r="A60" s="174">
        <v>55</v>
      </c>
      <c r="B60" s="163" t="s">
        <v>268</v>
      </c>
      <c r="C60" s="191" t="s">
        <v>142</v>
      </c>
      <c r="D60" s="163" t="s">
        <v>156</v>
      </c>
      <c r="E60" s="204" t="s">
        <v>157</v>
      </c>
      <c r="F60" s="214" t="s">
        <v>158</v>
      </c>
      <c r="G60" s="215">
        <v>4</v>
      </c>
      <c r="H60" s="162">
        <v>47693592</v>
      </c>
      <c r="I60" s="217">
        <v>8542228873</v>
      </c>
      <c r="J60" s="170">
        <v>811685734</v>
      </c>
      <c r="K60" s="164" t="s">
        <v>269</v>
      </c>
      <c r="L60" s="206">
        <f>8.7*2</f>
        <v>17.399999999999999</v>
      </c>
      <c r="M60" s="209"/>
      <c r="N60" s="3"/>
      <c r="O60" s="3"/>
    </row>
    <row r="61" spans="1:15" ht="22.8" x14ac:dyDescent="0.25">
      <c r="A61" s="174">
        <v>56</v>
      </c>
      <c r="B61" s="191" t="s">
        <v>270</v>
      </c>
      <c r="C61" s="191" t="s">
        <v>142</v>
      </c>
      <c r="D61" s="191" t="s">
        <v>156</v>
      </c>
      <c r="E61" s="204" t="s">
        <v>157</v>
      </c>
      <c r="F61" s="165" t="s">
        <v>158</v>
      </c>
      <c r="G61" s="205">
        <v>5</v>
      </c>
      <c r="H61" s="165">
        <v>81543851</v>
      </c>
      <c r="I61" s="170">
        <v>8542228873</v>
      </c>
      <c r="J61" s="170">
        <v>811685734</v>
      </c>
      <c r="K61" s="164" t="s">
        <v>271</v>
      </c>
      <c r="L61" s="206">
        <f>11*2</f>
        <v>22</v>
      </c>
      <c r="M61" s="209"/>
      <c r="N61" s="3"/>
      <c r="O61" s="3"/>
    </row>
    <row r="62" spans="1:15" ht="22.8" x14ac:dyDescent="0.25">
      <c r="A62" s="174">
        <v>57</v>
      </c>
      <c r="B62" s="163" t="s">
        <v>272</v>
      </c>
      <c r="C62" s="191" t="s">
        <v>142</v>
      </c>
      <c r="D62" s="241" t="s">
        <v>156</v>
      </c>
      <c r="E62" s="204" t="s">
        <v>157</v>
      </c>
      <c r="F62" s="214" t="s">
        <v>158</v>
      </c>
      <c r="G62" s="215">
        <v>9</v>
      </c>
      <c r="H62" s="162">
        <v>11487339</v>
      </c>
      <c r="I62" s="170">
        <v>8542228873</v>
      </c>
      <c r="J62" s="170">
        <v>811685734</v>
      </c>
      <c r="K62" s="164" t="s">
        <v>273</v>
      </c>
      <c r="L62" s="206">
        <f>11*2</f>
        <v>22</v>
      </c>
      <c r="M62" s="209"/>
      <c r="N62" s="3"/>
      <c r="O62" s="3"/>
    </row>
    <row r="63" spans="1:15" ht="22.8" x14ac:dyDescent="0.25">
      <c r="A63" s="174">
        <v>58</v>
      </c>
      <c r="B63" s="191" t="s">
        <v>274</v>
      </c>
      <c r="C63" s="191" t="s">
        <v>142</v>
      </c>
      <c r="D63" s="191" t="s">
        <v>156</v>
      </c>
      <c r="E63" s="204" t="s">
        <v>157</v>
      </c>
      <c r="F63" s="165" t="s">
        <v>158</v>
      </c>
      <c r="G63" s="205">
        <v>11</v>
      </c>
      <c r="H63" s="165">
        <v>12003100</v>
      </c>
      <c r="I63" s="170">
        <v>8542228873</v>
      </c>
      <c r="J63" s="170">
        <v>811685734</v>
      </c>
      <c r="K63" s="164" t="s">
        <v>275</v>
      </c>
      <c r="L63" s="206">
        <f>23*2</f>
        <v>46</v>
      </c>
      <c r="M63" s="209"/>
      <c r="N63" s="3"/>
      <c r="O63" s="3"/>
    </row>
    <row r="64" spans="1:15" ht="22.8" x14ac:dyDescent="0.25">
      <c r="A64" s="174">
        <v>59</v>
      </c>
      <c r="B64" s="191" t="s">
        <v>276</v>
      </c>
      <c r="C64" s="191" t="s">
        <v>142</v>
      </c>
      <c r="D64" s="191" t="s">
        <v>156</v>
      </c>
      <c r="E64" s="204" t="s">
        <v>157</v>
      </c>
      <c r="F64" s="212" t="s">
        <v>158</v>
      </c>
      <c r="G64" s="212">
        <v>16</v>
      </c>
      <c r="H64" s="212">
        <v>8670057</v>
      </c>
      <c r="I64" s="170">
        <v>8542228873</v>
      </c>
      <c r="J64" s="170">
        <v>811685734</v>
      </c>
      <c r="K64" s="164" t="s">
        <v>277</v>
      </c>
      <c r="L64" s="206">
        <v>10</v>
      </c>
      <c r="M64" s="209"/>
      <c r="N64" s="3"/>
      <c r="O64" s="3"/>
    </row>
    <row r="65" spans="1:15" ht="22.8" x14ac:dyDescent="0.25">
      <c r="A65" s="242">
        <v>60</v>
      </c>
      <c r="B65" s="243" t="s">
        <v>278</v>
      </c>
      <c r="C65" s="243" t="s">
        <v>142</v>
      </c>
      <c r="D65" s="243" t="s">
        <v>156</v>
      </c>
      <c r="E65" s="244" t="s">
        <v>157</v>
      </c>
      <c r="F65" s="245" t="s">
        <v>8</v>
      </c>
      <c r="G65" s="246">
        <v>2</v>
      </c>
      <c r="H65" s="245">
        <v>81450739</v>
      </c>
      <c r="I65" s="247">
        <v>8542228873</v>
      </c>
      <c r="J65" s="247">
        <v>811685734</v>
      </c>
      <c r="K65" s="248" t="s">
        <v>279</v>
      </c>
      <c r="L65" s="249">
        <f>0.7*2</f>
        <v>1.4</v>
      </c>
      <c r="M65" s="250">
        <f>1.1*2</f>
        <v>2.2000000000000002</v>
      </c>
      <c r="N65" s="3"/>
      <c r="O65" s="3"/>
    </row>
    <row r="66" spans="1:15" ht="22.8" x14ac:dyDescent="0.25">
      <c r="A66" s="174">
        <v>61</v>
      </c>
      <c r="B66" s="191" t="s">
        <v>280</v>
      </c>
      <c r="C66" s="191" t="s">
        <v>142</v>
      </c>
      <c r="D66" s="191" t="s">
        <v>156</v>
      </c>
      <c r="E66" s="204" t="s">
        <v>157</v>
      </c>
      <c r="F66" s="165" t="s">
        <v>158</v>
      </c>
      <c r="G66" s="205">
        <v>2</v>
      </c>
      <c r="H66" s="165">
        <v>81490248</v>
      </c>
      <c r="I66" s="170">
        <v>8542228873</v>
      </c>
      <c r="J66" s="170">
        <v>811685734</v>
      </c>
      <c r="K66" s="164" t="s">
        <v>281</v>
      </c>
      <c r="L66" s="206">
        <f>4.5*2</f>
        <v>9</v>
      </c>
      <c r="M66" s="209"/>
      <c r="N66" s="3"/>
      <c r="O66" s="3"/>
    </row>
    <row r="67" spans="1:15" ht="22.8" x14ac:dyDescent="0.25">
      <c r="A67" s="242">
        <v>62</v>
      </c>
      <c r="B67" s="243" t="s">
        <v>282</v>
      </c>
      <c r="C67" s="243" t="s">
        <v>142</v>
      </c>
      <c r="D67" s="243" t="s">
        <v>156</v>
      </c>
      <c r="E67" s="244" t="s">
        <v>157</v>
      </c>
      <c r="F67" s="245" t="s">
        <v>8</v>
      </c>
      <c r="G67" s="246">
        <v>4</v>
      </c>
      <c r="H67" s="245">
        <v>81448783</v>
      </c>
      <c r="I67" s="247">
        <v>8542228873</v>
      </c>
      <c r="J67" s="247">
        <v>811685734</v>
      </c>
      <c r="K67" s="248" t="s">
        <v>283</v>
      </c>
      <c r="L67" s="249">
        <f>0.6*2</f>
        <v>1.2</v>
      </c>
      <c r="M67" s="250">
        <f>0.9*2</f>
        <v>1.8</v>
      </c>
      <c r="N67" s="3"/>
      <c r="O67" s="3"/>
    </row>
    <row r="68" spans="1:15" ht="22.8" x14ac:dyDescent="0.25">
      <c r="A68" s="174">
        <v>63</v>
      </c>
      <c r="B68" s="191" t="s">
        <v>284</v>
      </c>
      <c r="C68" s="191" t="s">
        <v>142</v>
      </c>
      <c r="D68" s="191" t="s">
        <v>156</v>
      </c>
      <c r="E68" s="204" t="s">
        <v>157</v>
      </c>
      <c r="F68" s="165" t="s">
        <v>158</v>
      </c>
      <c r="G68" s="205">
        <v>2</v>
      </c>
      <c r="H68" s="165">
        <v>23968640</v>
      </c>
      <c r="I68" s="170">
        <v>8542228873</v>
      </c>
      <c r="J68" s="170">
        <v>811685734</v>
      </c>
      <c r="K68" s="164" t="s">
        <v>285</v>
      </c>
      <c r="L68" s="206">
        <f>1*2</f>
        <v>2</v>
      </c>
      <c r="M68" s="209"/>
      <c r="N68" s="3"/>
      <c r="O68" s="3"/>
    </row>
    <row r="69" spans="1:15" ht="22.8" x14ac:dyDescent="0.25">
      <c r="A69" s="174">
        <v>64</v>
      </c>
      <c r="B69" s="163" t="s">
        <v>286</v>
      </c>
      <c r="C69" s="191" t="s">
        <v>142</v>
      </c>
      <c r="D69" s="191" t="s">
        <v>156</v>
      </c>
      <c r="E69" s="204" t="s">
        <v>157</v>
      </c>
      <c r="F69" s="214" t="s">
        <v>158</v>
      </c>
      <c r="G69" s="215">
        <v>9</v>
      </c>
      <c r="H69" s="165">
        <v>10742120</v>
      </c>
      <c r="I69" s="217">
        <v>8542228873</v>
      </c>
      <c r="J69" s="170">
        <v>811685734</v>
      </c>
      <c r="K69" s="164" t="s">
        <v>287</v>
      </c>
      <c r="L69" s="206">
        <f>8.4*2</f>
        <v>16.8</v>
      </c>
      <c r="M69" s="209"/>
      <c r="N69" s="3"/>
      <c r="O69" s="3"/>
    </row>
    <row r="70" spans="1:15" ht="22.8" x14ac:dyDescent="0.25">
      <c r="A70" s="174">
        <v>65</v>
      </c>
      <c r="B70" s="191" t="s">
        <v>288</v>
      </c>
      <c r="C70" s="191" t="s">
        <v>142</v>
      </c>
      <c r="D70" s="191" t="s">
        <v>156</v>
      </c>
      <c r="E70" s="204" t="s">
        <v>157</v>
      </c>
      <c r="F70" s="165" t="s">
        <v>158</v>
      </c>
      <c r="G70" s="205">
        <v>5</v>
      </c>
      <c r="H70" s="165">
        <v>9810828</v>
      </c>
      <c r="I70" s="170">
        <v>8542228873</v>
      </c>
      <c r="J70" s="170">
        <v>811685734</v>
      </c>
      <c r="K70" s="164" t="s">
        <v>289</v>
      </c>
      <c r="L70" s="206">
        <f>8.1*2</f>
        <v>16.2</v>
      </c>
      <c r="M70" s="209"/>
      <c r="N70" s="3"/>
      <c r="O70" s="3"/>
    </row>
    <row r="71" spans="1:15" ht="22.8" x14ac:dyDescent="0.25">
      <c r="A71" s="310">
        <v>66</v>
      </c>
      <c r="B71" s="311" t="s">
        <v>290</v>
      </c>
      <c r="C71" s="311" t="s">
        <v>142</v>
      </c>
      <c r="D71" s="311" t="s">
        <v>156</v>
      </c>
      <c r="E71" s="313" t="s">
        <v>157</v>
      </c>
      <c r="F71" s="314" t="s">
        <v>158</v>
      </c>
      <c r="G71" s="315">
        <v>11</v>
      </c>
      <c r="H71" s="314">
        <v>23151403</v>
      </c>
      <c r="I71" s="316">
        <v>8542228873</v>
      </c>
      <c r="J71" s="316">
        <v>811685734</v>
      </c>
      <c r="K71" s="317" t="s">
        <v>291</v>
      </c>
      <c r="L71" s="318">
        <f>3.3*2</f>
        <v>6.6</v>
      </c>
      <c r="M71" s="319"/>
      <c r="N71" s="3"/>
      <c r="O71" s="3"/>
    </row>
    <row r="72" spans="1:15" ht="22.8" x14ac:dyDescent="0.25">
      <c r="A72" s="174">
        <v>67</v>
      </c>
      <c r="B72" s="191" t="s">
        <v>292</v>
      </c>
      <c r="C72" s="191" t="s">
        <v>142</v>
      </c>
      <c r="D72" s="191" t="s">
        <v>156</v>
      </c>
      <c r="E72" s="204" t="s">
        <v>157</v>
      </c>
      <c r="F72" s="165" t="s">
        <v>158</v>
      </c>
      <c r="G72" s="205">
        <v>9</v>
      </c>
      <c r="H72" s="165">
        <v>11669259</v>
      </c>
      <c r="I72" s="170">
        <v>8542228873</v>
      </c>
      <c r="J72" s="170">
        <v>811685734</v>
      </c>
      <c r="K72" s="164" t="s">
        <v>293</v>
      </c>
      <c r="L72" s="206">
        <f>18*2</f>
        <v>36</v>
      </c>
      <c r="M72" s="209"/>
      <c r="N72" s="3"/>
      <c r="O72" s="3"/>
    </row>
    <row r="73" spans="1:15" ht="22.8" x14ac:dyDescent="0.25">
      <c r="A73" s="242">
        <v>68</v>
      </c>
      <c r="B73" s="251" t="s">
        <v>294</v>
      </c>
      <c r="C73" s="243" t="s">
        <v>142</v>
      </c>
      <c r="D73" s="243" t="s">
        <v>156</v>
      </c>
      <c r="E73" s="244" t="s">
        <v>157</v>
      </c>
      <c r="F73" s="252" t="s">
        <v>8</v>
      </c>
      <c r="G73" s="253">
        <v>1</v>
      </c>
      <c r="H73" s="245">
        <v>60943333</v>
      </c>
      <c r="I73" s="247">
        <v>8542228873</v>
      </c>
      <c r="J73" s="254">
        <v>811685734</v>
      </c>
      <c r="K73" s="255" t="s">
        <v>295</v>
      </c>
      <c r="L73" s="249">
        <f>0.4*2</f>
        <v>0.8</v>
      </c>
      <c r="M73" s="250">
        <f>0.8*2</f>
        <v>1.6</v>
      </c>
      <c r="N73" s="3"/>
      <c r="O73" s="3"/>
    </row>
    <row r="74" spans="1:15" ht="22.8" x14ac:dyDescent="0.25">
      <c r="A74" s="174">
        <v>69</v>
      </c>
      <c r="B74" s="191" t="s">
        <v>296</v>
      </c>
      <c r="C74" s="191" t="s">
        <v>142</v>
      </c>
      <c r="D74" s="191" t="s">
        <v>156</v>
      </c>
      <c r="E74" s="204" t="s">
        <v>157</v>
      </c>
      <c r="F74" s="165" t="s">
        <v>158</v>
      </c>
      <c r="G74" s="205">
        <v>4</v>
      </c>
      <c r="H74" s="165">
        <v>12244937</v>
      </c>
      <c r="I74" s="170">
        <v>8542228873</v>
      </c>
      <c r="J74" s="170">
        <v>811685734</v>
      </c>
      <c r="K74" s="164" t="s">
        <v>297</v>
      </c>
      <c r="L74" s="206">
        <f>8.5*2</f>
        <v>17</v>
      </c>
      <c r="M74" s="209"/>
      <c r="N74" s="3"/>
      <c r="O74" s="3"/>
    </row>
    <row r="75" spans="1:15" ht="22.8" x14ac:dyDescent="0.25">
      <c r="A75" s="174">
        <v>70</v>
      </c>
      <c r="B75" s="191" t="s">
        <v>298</v>
      </c>
      <c r="C75" s="191" t="s">
        <v>142</v>
      </c>
      <c r="D75" s="191" t="s">
        <v>156</v>
      </c>
      <c r="E75" s="204" t="s">
        <v>157</v>
      </c>
      <c r="F75" s="165" t="s">
        <v>158</v>
      </c>
      <c r="G75" s="205">
        <v>4</v>
      </c>
      <c r="H75" s="165">
        <v>11879300</v>
      </c>
      <c r="I75" s="170">
        <v>8542228873</v>
      </c>
      <c r="J75" s="170">
        <v>811685734</v>
      </c>
      <c r="K75" s="164" t="s">
        <v>299</v>
      </c>
      <c r="L75" s="206">
        <f>12*2</f>
        <v>24</v>
      </c>
      <c r="M75" s="209"/>
      <c r="N75" s="3"/>
      <c r="O75" s="3"/>
    </row>
    <row r="76" spans="1:15" ht="22.8" x14ac:dyDescent="0.25">
      <c r="A76" s="174">
        <v>71</v>
      </c>
      <c r="B76" s="191" t="s">
        <v>300</v>
      </c>
      <c r="C76" s="191" t="s">
        <v>142</v>
      </c>
      <c r="D76" s="191" t="s">
        <v>156</v>
      </c>
      <c r="E76" s="204" t="s">
        <v>157</v>
      </c>
      <c r="F76" s="165" t="s">
        <v>158</v>
      </c>
      <c r="G76" s="205">
        <v>2</v>
      </c>
      <c r="H76" s="165">
        <v>23328294</v>
      </c>
      <c r="I76" s="170">
        <v>8542228873</v>
      </c>
      <c r="J76" s="170">
        <v>811685734</v>
      </c>
      <c r="K76" s="164" t="s">
        <v>301</v>
      </c>
      <c r="L76" s="206">
        <f>5.6*2</f>
        <v>11.2</v>
      </c>
      <c r="M76" s="209"/>
      <c r="N76" s="3"/>
      <c r="O76" s="3"/>
    </row>
    <row r="77" spans="1:15" ht="22.8" x14ac:dyDescent="0.25">
      <c r="A77" s="174">
        <v>72</v>
      </c>
      <c r="B77" s="191" t="s">
        <v>302</v>
      </c>
      <c r="C77" s="191" t="s">
        <v>142</v>
      </c>
      <c r="D77" s="191" t="s">
        <v>156</v>
      </c>
      <c r="E77" s="204" t="s">
        <v>157</v>
      </c>
      <c r="F77" s="165" t="s">
        <v>158</v>
      </c>
      <c r="G77" s="205">
        <v>5</v>
      </c>
      <c r="H77" s="165">
        <v>82666801</v>
      </c>
      <c r="I77" s="170">
        <v>8542228873</v>
      </c>
      <c r="J77" s="170">
        <v>811685734</v>
      </c>
      <c r="K77" s="164" t="s">
        <v>303</v>
      </c>
      <c r="L77" s="206">
        <f>9.6*2</f>
        <v>19.2</v>
      </c>
      <c r="M77" s="209"/>
      <c r="N77" s="3"/>
      <c r="O77" s="3"/>
    </row>
    <row r="78" spans="1:15" ht="22.8" x14ac:dyDescent="0.25">
      <c r="A78" s="174">
        <v>73</v>
      </c>
      <c r="B78" s="163" t="s">
        <v>304</v>
      </c>
      <c r="C78" s="191" t="s">
        <v>142</v>
      </c>
      <c r="D78" s="191" t="s">
        <v>156</v>
      </c>
      <c r="E78" s="204" t="s">
        <v>157</v>
      </c>
      <c r="F78" s="214" t="s">
        <v>158</v>
      </c>
      <c r="G78" s="215">
        <v>2</v>
      </c>
      <c r="H78" s="165">
        <v>24580421</v>
      </c>
      <c r="I78" s="170">
        <v>8542228873</v>
      </c>
      <c r="J78" s="216">
        <v>811685734</v>
      </c>
      <c r="K78" s="164" t="s">
        <v>305</v>
      </c>
      <c r="L78" s="206">
        <f>5.5*2</f>
        <v>11</v>
      </c>
      <c r="M78" s="209"/>
      <c r="N78" s="3"/>
      <c r="O78" s="3"/>
    </row>
    <row r="79" spans="1:15" ht="22.8" x14ac:dyDescent="0.25">
      <c r="A79" s="174">
        <v>74</v>
      </c>
      <c r="B79" s="191" t="s">
        <v>306</v>
      </c>
      <c r="C79" s="191" t="s">
        <v>142</v>
      </c>
      <c r="D79" s="191" t="s">
        <v>156</v>
      </c>
      <c r="E79" s="204" t="s">
        <v>157</v>
      </c>
      <c r="F79" s="165" t="s">
        <v>158</v>
      </c>
      <c r="G79" s="205">
        <v>7</v>
      </c>
      <c r="H79" s="165">
        <v>51164936</v>
      </c>
      <c r="I79" s="170">
        <v>8542228873</v>
      </c>
      <c r="J79" s="170">
        <v>811685734</v>
      </c>
      <c r="K79" s="164" t="s">
        <v>307</v>
      </c>
      <c r="L79" s="206">
        <f>13*2</f>
        <v>26</v>
      </c>
      <c r="M79" s="209"/>
      <c r="N79" s="3"/>
      <c r="O79" s="3"/>
    </row>
    <row r="80" spans="1:15" ht="22.8" x14ac:dyDescent="0.25">
      <c r="A80" s="242">
        <v>75</v>
      </c>
      <c r="B80" s="243" t="s">
        <v>308</v>
      </c>
      <c r="C80" s="243" t="s">
        <v>142</v>
      </c>
      <c r="D80" s="243" t="s">
        <v>156</v>
      </c>
      <c r="E80" s="244" t="s">
        <v>157</v>
      </c>
      <c r="F80" s="245" t="s">
        <v>8</v>
      </c>
      <c r="G80" s="246">
        <v>27</v>
      </c>
      <c r="H80" s="245">
        <v>56248113</v>
      </c>
      <c r="I80" s="247">
        <v>8542228873</v>
      </c>
      <c r="J80" s="247">
        <v>811685734</v>
      </c>
      <c r="K80" s="248" t="s">
        <v>309</v>
      </c>
      <c r="L80" s="249">
        <f>0.5*2</f>
        <v>1</v>
      </c>
      <c r="M80" s="250">
        <f>1.1*2</f>
        <v>2.2000000000000002</v>
      </c>
      <c r="N80" s="3"/>
      <c r="O80" s="3"/>
    </row>
    <row r="81" spans="1:15" ht="22.8" x14ac:dyDescent="0.25">
      <c r="A81" s="174">
        <v>76</v>
      </c>
      <c r="B81" s="191" t="s">
        <v>306</v>
      </c>
      <c r="C81" s="191" t="s">
        <v>142</v>
      </c>
      <c r="D81" s="191" t="s">
        <v>156</v>
      </c>
      <c r="E81" s="204" t="s">
        <v>157</v>
      </c>
      <c r="F81" s="165" t="s">
        <v>158</v>
      </c>
      <c r="G81" s="205">
        <v>7</v>
      </c>
      <c r="H81" s="165">
        <v>85485057</v>
      </c>
      <c r="I81" s="170">
        <v>8542228873</v>
      </c>
      <c r="J81" s="170">
        <v>811685734</v>
      </c>
      <c r="K81" s="164" t="s">
        <v>310</v>
      </c>
      <c r="L81" s="206">
        <f>12*2</f>
        <v>24</v>
      </c>
      <c r="M81" s="209"/>
      <c r="N81" s="3"/>
      <c r="O81" s="3"/>
    </row>
    <row r="82" spans="1:15" ht="22.8" x14ac:dyDescent="0.25">
      <c r="A82" s="174">
        <v>77</v>
      </c>
      <c r="B82" s="191" t="s">
        <v>311</v>
      </c>
      <c r="C82" s="191" t="s">
        <v>142</v>
      </c>
      <c r="D82" s="191" t="s">
        <v>156</v>
      </c>
      <c r="E82" s="204" t="s">
        <v>157</v>
      </c>
      <c r="F82" s="165" t="s">
        <v>158</v>
      </c>
      <c r="G82" s="205">
        <v>2</v>
      </c>
      <c r="H82" s="165">
        <v>26315326</v>
      </c>
      <c r="I82" s="170">
        <v>8542228873</v>
      </c>
      <c r="J82" s="170">
        <v>811685734</v>
      </c>
      <c r="K82" s="164" t="s">
        <v>312</v>
      </c>
      <c r="L82" s="206">
        <f>3*2</f>
        <v>6</v>
      </c>
      <c r="M82" s="209"/>
      <c r="N82" s="3"/>
      <c r="O82" s="3"/>
    </row>
    <row r="83" spans="1:15" ht="22.8" x14ac:dyDescent="0.25">
      <c r="A83" s="218">
        <v>78</v>
      </c>
      <c r="B83" s="220" t="s">
        <v>313</v>
      </c>
      <c r="C83" s="220" t="s">
        <v>142</v>
      </c>
      <c r="D83" s="220" t="s">
        <v>156</v>
      </c>
      <c r="E83" s="221" t="s">
        <v>157</v>
      </c>
      <c r="F83" s="256" t="s">
        <v>6</v>
      </c>
      <c r="G83" s="257">
        <v>11</v>
      </c>
      <c r="H83" s="256">
        <v>8972111</v>
      </c>
      <c r="I83" s="226">
        <v>8542228873</v>
      </c>
      <c r="J83" s="226">
        <v>811685734</v>
      </c>
      <c r="K83" s="227" t="s">
        <v>314</v>
      </c>
      <c r="L83" s="228">
        <v>1</v>
      </c>
      <c r="M83" s="229"/>
      <c r="N83" s="3"/>
      <c r="O83" s="3"/>
    </row>
    <row r="84" spans="1:15" ht="22.8" x14ac:dyDescent="0.25">
      <c r="A84" s="174">
        <v>79</v>
      </c>
      <c r="B84" s="191" t="s">
        <v>315</v>
      </c>
      <c r="C84" s="191" t="s">
        <v>142</v>
      </c>
      <c r="D84" s="191" t="s">
        <v>156</v>
      </c>
      <c r="E84" s="204" t="s">
        <v>157</v>
      </c>
      <c r="F84" s="165" t="s">
        <v>158</v>
      </c>
      <c r="G84" s="205">
        <v>2</v>
      </c>
      <c r="H84" s="165">
        <v>26406319</v>
      </c>
      <c r="I84" s="170">
        <v>8542228873</v>
      </c>
      <c r="J84" s="170">
        <v>811685734</v>
      </c>
      <c r="K84" s="164" t="s">
        <v>316</v>
      </c>
      <c r="L84" s="206">
        <f>0.9*2</f>
        <v>1.8</v>
      </c>
      <c r="M84" s="209"/>
      <c r="N84" s="3"/>
      <c r="O84" s="3"/>
    </row>
    <row r="85" spans="1:15" ht="22.8" x14ac:dyDescent="0.25">
      <c r="A85" s="174">
        <v>80</v>
      </c>
      <c r="B85" s="191" t="s">
        <v>317</v>
      </c>
      <c r="C85" s="191" t="s">
        <v>142</v>
      </c>
      <c r="D85" s="191" t="s">
        <v>156</v>
      </c>
      <c r="E85" s="204" t="s">
        <v>157</v>
      </c>
      <c r="F85" s="165" t="s">
        <v>158</v>
      </c>
      <c r="G85" s="205">
        <v>9</v>
      </c>
      <c r="H85" s="165">
        <v>47046960</v>
      </c>
      <c r="I85" s="170">
        <v>8542228873</v>
      </c>
      <c r="J85" s="170">
        <v>811685734</v>
      </c>
      <c r="K85" s="164" t="s">
        <v>318</v>
      </c>
      <c r="L85" s="206">
        <f>28.1*2</f>
        <v>56.2</v>
      </c>
      <c r="M85" s="209"/>
      <c r="N85" s="3"/>
      <c r="O85" s="3"/>
    </row>
    <row r="86" spans="1:15" ht="22.8" x14ac:dyDescent="0.25">
      <c r="A86" s="174">
        <v>81</v>
      </c>
      <c r="B86" s="191" t="s">
        <v>319</v>
      </c>
      <c r="C86" s="191" t="s">
        <v>142</v>
      </c>
      <c r="D86" s="191" t="s">
        <v>156</v>
      </c>
      <c r="E86" s="204" t="s">
        <v>157</v>
      </c>
      <c r="F86" s="165" t="s">
        <v>158</v>
      </c>
      <c r="G86" s="205">
        <v>12</v>
      </c>
      <c r="H86" s="165">
        <v>7572475</v>
      </c>
      <c r="I86" s="170">
        <v>8542228873</v>
      </c>
      <c r="J86" s="170">
        <v>811685734</v>
      </c>
      <c r="K86" s="164" t="s">
        <v>320</v>
      </c>
      <c r="L86" s="206">
        <v>40</v>
      </c>
      <c r="M86" s="209"/>
      <c r="N86" s="3"/>
      <c r="O86" s="3"/>
    </row>
    <row r="87" spans="1:15" ht="22.8" x14ac:dyDescent="0.25">
      <c r="A87" s="232">
        <v>82</v>
      </c>
      <c r="B87" s="258" t="s">
        <v>321</v>
      </c>
      <c r="C87" s="233" t="s">
        <v>142</v>
      </c>
      <c r="D87" s="233" t="s">
        <v>156</v>
      </c>
      <c r="E87" s="234" t="s">
        <v>157</v>
      </c>
      <c r="F87" s="259" t="s">
        <v>253</v>
      </c>
      <c r="G87" s="260">
        <v>7</v>
      </c>
      <c r="H87" s="235">
        <v>50609697</v>
      </c>
      <c r="I87" s="238">
        <v>8542228873</v>
      </c>
      <c r="J87" s="261">
        <v>811685734</v>
      </c>
      <c r="K87" s="237" t="s">
        <v>322</v>
      </c>
      <c r="L87" s="239">
        <f>22*2</f>
        <v>44</v>
      </c>
      <c r="M87" s="240">
        <f>38.5*2</f>
        <v>77</v>
      </c>
      <c r="N87" s="3"/>
      <c r="O87" s="3"/>
    </row>
    <row r="88" spans="1:15" ht="22.8" x14ac:dyDescent="0.25">
      <c r="A88" s="174">
        <v>83</v>
      </c>
      <c r="B88" s="191" t="s">
        <v>323</v>
      </c>
      <c r="C88" s="191" t="s">
        <v>142</v>
      </c>
      <c r="D88" s="191" t="s">
        <v>156</v>
      </c>
      <c r="E88" s="204" t="s">
        <v>157</v>
      </c>
      <c r="F88" s="165" t="s">
        <v>158</v>
      </c>
      <c r="G88" s="205">
        <v>7</v>
      </c>
      <c r="H88" s="165">
        <v>9648701</v>
      </c>
      <c r="I88" s="170">
        <v>8542228873</v>
      </c>
      <c r="J88" s="170">
        <v>811685734</v>
      </c>
      <c r="K88" s="164" t="s">
        <v>324</v>
      </c>
      <c r="L88" s="206">
        <f>3.1*2</f>
        <v>6.2</v>
      </c>
      <c r="M88" s="209"/>
      <c r="N88" s="3"/>
      <c r="O88" s="3"/>
    </row>
    <row r="89" spans="1:15" ht="22.8" x14ac:dyDescent="0.25">
      <c r="A89" s="174">
        <v>84</v>
      </c>
      <c r="B89" s="191" t="s">
        <v>325</v>
      </c>
      <c r="C89" s="191" t="s">
        <v>142</v>
      </c>
      <c r="D89" s="191" t="s">
        <v>156</v>
      </c>
      <c r="E89" s="204" t="s">
        <v>157</v>
      </c>
      <c r="F89" s="165" t="s">
        <v>158</v>
      </c>
      <c r="G89" s="205">
        <v>17</v>
      </c>
      <c r="H89" s="165">
        <v>56074668</v>
      </c>
      <c r="I89" s="170">
        <v>8542228873</v>
      </c>
      <c r="J89" s="170">
        <v>811685734</v>
      </c>
      <c r="K89" s="164" t="s">
        <v>326</v>
      </c>
      <c r="L89" s="206">
        <f>50*2</f>
        <v>100</v>
      </c>
      <c r="M89" s="209"/>
      <c r="N89" s="3"/>
      <c r="O89" s="3"/>
    </row>
    <row r="90" spans="1:15" ht="22.8" x14ac:dyDescent="0.25">
      <c r="A90" s="174">
        <v>85</v>
      </c>
      <c r="B90" s="191" t="s">
        <v>327</v>
      </c>
      <c r="C90" s="191" t="s">
        <v>142</v>
      </c>
      <c r="D90" s="191" t="s">
        <v>156</v>
      </c>
      <c r="E90" s="204" t="s">
        <v>157</v>
      </c>
      <c r="F90" s="165" t="s">
        <v>158</v>
      </c>
      <c r="G90" s="205">
        <v>9</v>
      </c>
      <c r="H90" s="165">
        <v>11686064</v>
      </c>
      <c r="I90" s="170">
        <v>8542228873</v>
      </c>
      <c r="J90" s="170">
        <v>811685734</v>
      </c>
      <c r="K90" s="164" t="s">
        <v>328</v>
      </c>
      <c r="L90" s="206">
        <f>32*2</f>
        <v>64</v>
      </c>
      <c r="M90" s="209"/>
      <c r="N90" s="3"/>
      <c r="O90" s="3"/>
    </row>
    <row r="91" spans="1:15" ht="22.8" x14ac:dyDescent="0.25">
      <c r="A91" s="174">
        <v>86</v>
      </c>
      <c r="B91" s="191" t="s">
        <v>329</v>
      </c>
      <c r="C91" s="191" t="s">
        <v>142</v>
      </c>
      <c r="D91" s="191" t="s">
        <v>156</v>
      </c>
      <c r="E91" s="204" t="s">
        <v>157</v>
      </c>
      <c r="F91" s="165" t="s">
        <v>158</v>
      </c>
      <c r="G91" s="205">
        <v>2</v>
      </c>
      <c r="H91" s="165">
        <v>23425532</v>
      </c>
      <c r="I91" s="170">
        <v>8542228873</v>
      </c>
      <c r="J91" s="170">
        <v>811685734</v>
      </c>
      <c r="K91" s="164" t="s">
        <v>330</v>
      </c>
      <c r="L91" s="206">
        <f>7*2</f>
        <v>14</v>
      </c>
      <c r="M91" s="209"/>
      <c r="N91" s="3"/>
      <c r="O91" s="3"/>
    </row>
    <row r="92" spans="1:15" ht="22.8" x14ac:dyDescent="0.25">
      <c r="A92" s="174">
        <v>87</v>
      </c>
      <c r="B92" s="191" t="s">
        <v>331</v>
      </c>
      <c r="C92" s="191" t="s">
        <v>142</v>
      </c>
      <c r="D92" s="191" t="s">
        <v>156</v>
      </c>
      <c r="E92" s="204" t="s">
        <v>157</v>
      </c>
      <c r="F92" s="165" t="s">
        <v>158</v>
      </c>
      <c r="G92" s="205">
        <v>14</v>
      </c>
      <c r="H92" s="165">
        <v>9000241</v>
      </c>
      <c r="I92" s="170">
        <v>8542228873</v>
      </c>
      <c r="J92" s="170">
        <v>811685734</v>
      </c>
      <c r="K92" s="164" t="s">
        <v>332</v>
      </c>
      <c r="L92" s="206">
        <f>54*2</f>
        <v>108</v>
      </c>
      <c r="M92" s="209"/>
      <c r="N92" s="3"/>
      <c r="O92" s="3"/>
    </row>
    <row r="93" spans="1:15" ht="22.8" x14ac:dyDescent="0.25">
      <c r="A93" s="174">
        <v>88</v>
      </c>
      <c r="B93" s="191" t="s">
        <v>333</v>
      </c>
      <c r="C93" s="191" t="s">
        <v>142</v>
      </c>
      <c r="D93" s="191" t="s">
        <v>156</v>
      </c>
      <c r="E93" s="204" t="s">
        <v>157</v>
      </c>
      <c r="F93" s="165" t="s">
        <v>158</v>
      </c>
      <c r="G93" s="205">
        <v>5</v>
      </c>
      <c r="H93" s="165">
        <v>8197915</v>
      </c>
      <c r="I93" s="170">
        <v>8542228873</v>
      </c>
      <c r="J93" s="170">
        <v>811685734</v>
      </c>
      <c r="K93" s="164" t="s">
        <v>334</v>
      </c>
      <c r="L93" s="206">
        <f>12.5*2</f>
        <v>25</v>
      </c>
      <c r="M93" s="209"/>
      <c r="N93" s="3"/>
      <c r="O93" s="3"/>
    </row>
    <row r="94" spans="1:15" ht="22.8" x14ac:dyDescent="0.25">
      <c r="A94" s="174">
        <v>89</v>
      </c>
      <c r="B94" s="191" t="s">
        <v>335</v>
      </c>
      <c r="C94" s="191" t="s">
        <v>142</v>
      </c>
      <c r="D94" s="191" t="s">
        <v>156</v>
      </c>
      <c r="E94" s="204" t="s">
        <v>157</v>
      </c>
      <c r="F94" s="165" t="s">
        <v>158</v>
      </c>
      <c r="G94" s="205">
        <v>9</v>
      </c>
      <c r="H94" s="165">
        <v>63733132</v>
      </c>
      <c r="I94" s="170">
        <v>8542228873</v>
      </c>
      <c r="J94" s="170">
        <v>811685734</v>
      </c>
      <c r="K94" s="164" t="s">
        <v>336</v>
      </c>
      <c r="L94" s="206">
        <f>20*2</f>
        <v>40</v>
      </c>
      <c r="M94" s="209"/>
      <c r="N94" s="3"/>
      <c r="O94" s="3"/>
    </row>
    <row r="95" spans="1:15" ht="22.8" x14ac:dyDescent="0.25">
      <c r="A95" s="174">
        <v>90</v>
      </c>
      <c r="B95" s="191" t="s">
        <v>337</v>
      </c>
      <c r="C95" s="191" t="s">
        <v>142</v>
      </c>
      <c r="D95" s="191" t="s">
        <v>156</v>
      </c>
      <c r="E95" s="204" t="s">
        <v>157</v>
      </c>
      <c r="F95" s="165" t="s">
        <v>158</v>
      </c>
      <c r="G95" s="205">
        <v>4</v>
      </c>
      <c r="H95" s="165">
        <v>8820434</v>
      </c>
      <c r="I95" s="170">
        <v>8542228873</v>
      </c>
      <c r="J95" s="170">
        <v>811685734</v>
      </c>
      <c r="K95" s="164" t="s">
        <v>338</v>
      </c>
      <c r="L95" s="206">
        <f>19*2</f>
        <v>38</v>
      </c>
      <c r="M95" s="209"/>
      <c r="N95" s="3"/>
      <c r="O95" s="3"/>
    </row>
    <row r="96" spans="1:15" ht="22.8" x14ac:dyDescent="0.25">
      <c r="A96" s="174">
        <v>91</v>
      </c>
      <c r="B96" s="163" t="s">
        <v>339</v>
      </c>
      <c r="C96" s="191" t="s">
        <v>142</v>
      </c>
      <c r="D96" s="191" t="s">
        <v>156</v>
      </c>
      <c r="E96" s="204" t="s">
        <v>157</v>
      </c>
      <c r="F96" s="214" t="s">
        <v>158</v>
      </c>
      <c r="G96" s="215">
        <v>9</v>
      </c>
      <c r="H96" s="165">
        <v>12031134</v>
      </c>
      <c r="I96" s="170">
        <v>8542228873</v>
      </c>
      <c r="J96" s="216">
        <v>811685734</v>
      </c>
      <c r="K96" s="178" t="s">
        <v>340</v>
      </c>
      <c r="L96" s="206">
        <f>28*2</f>
        <v>56</v>
      </c>
      <c r="M96" s="209"/>
      <c r="N96" s="3"/>
      <c r="O96" s="3"/>
    </row>
    <row r="97" spans="1:15" ht="22.8" x14ac:dyDescent="0.25">
      <c r="A97" s="174">
        <v>92</v>
      </c>
      <c r="B97" s="191" t="s">
        <v>341</v>
      </c>
      <c r="C97" s="191" t="s">
        <v>142</v>
      </c>
      <c r="D97" s="191" t="s">
        <v>156</v>
      </c>
      <c r="E97" s="204" t="s">
        <v>157</v>
      </c>
      <c r="F97" s="165" t="s">
        <v>158</v>
      </c>
      <c r="G97" s="205">
        <v>2</v>
      </c>
      <c r="H97" s="165">
        <v>23498384</v>
      </c>
      <c r="I97" s="170">
        <v>8542228873</v>
      </c>
      <c r="J97" s="170">
        <v>811685734</v>
      </c>
      <c r="K97" s="164" t="s">
        <v>342</v>
      </c>
      <c r="L97" s="206">
        <f>4.3*2</f>
        <v>8.6</v>
      </c>
      <c r="M97" s="209"/>
      <c r="N97" s="3"/>
      <c r="O97" s="3"/>
    </row>
    <row r="98" spans="1:15" ht="22.8" x14ac:dyDescent="0.25">
      <c r="A98" s="174">
        <v>93</v>
      </c>
      <c r="B98" s="191" t="s">
        <v>343</v>
      </c>
      <c r="C98" s="191" t="s">
        <v>142</v>
      </c>
      <c r="D98" s="191" t="s">
        <v>156</v>
      </c>
      <c r="E98" s="204" t="s">
        <v>157</v>
      </c>
      <c r="F98" s="165" t="s">
        <v>158</v>
      </c>
      <c r="G98" s="205">
        <v>1</v>
      </c>
      <c r="H98" s="165">
        <v>60863470</v>
      </c>
      <c r="I98" s="170">
        <v>8542228873</v>
      </c>
      <c r="J98" s="170">
        <v>811685734</v>
      </c>
      <c r="K98" s="164" t="s">
        <v>344</v>
      </c>
      <c r="L98" s="206">
        <f>1.5*2</f>
        <v>3</v>
      </c>
      <c r="M98" s="209"/>
      <c r="N98" s="3"/>
      <c r="O98" s="3"/>
    </row>
    <row r="99" spans="1:15" ht="22.8" x14ac:dyDescent="0.25">
      <c r="A99" s="174">
        <v>94</v>
      </c>
      <c r="B99" s="191" t="s">
        <v>345</v>
      </c>
      <c r="C99" s="191" t="s">
        <v>142</v>
      </c>
      <c r="D99" s="191" t="s">
        <v>156</v>
      </c>
      <c r="E99" s="204" t="s">
        <v>157</v>
      </c>
      <c r="F99" s="165" t="s">
        <v>158</v>
      </c>
      <c r="G99" s="205">
        <v>2</v>
      </c>
      <c r="H99" s="165">
        <v>26212132</v>
      </c>
      <c r="I99" s="170">
        <v>8542228873</v>
      </c>
      <c r="J99" s="170">
        <v>811685734</v>
      </c>
      <c r="K99" s="164" t="s">
        <v>346</v>
      </c>
      <c r="L99" s="206">
        <f>2.8*2</f>
        <v>5.6</v>
      </c>
      <c r="M99" s="209"/>
      <c r="N99" s="3"/>
      <c r="O99" s="3"/>
    </row>
    <row r="100" spans="1:15" ht="22.8" x14ac:dyDescent="0.25">
      <c r="A100" s="174">
        <v>95</v>
      </c>
      <c r="B100" s="191" t="s">
        <v>347</v>
      </c>
      <c r="C100" s="191" t="s">
        <v>142</v>
      </c>
      <c r="D100" s="191" t="s">
        <v>156</v>
      </c>
      <c r="E100" s="204" t="s">
        <v>157</v>
      </c>
      <c r="F100" s="165" t="s">
        <v>158</v>
      </c>
      <c r="G100" s="205">
        <v>4</v>
      </c>
      <c r="H100" s="210">
        <v>63062557</v>
      </c>
      <c r="I100" s="170">
        <v>8542228873</v>
      </c>
      <c r="J100" s="170">
        <v>811685734</v>
      </c>
      <c r="K100" s="164" t="s">
        <v>348</v>
      </c>
      <c r="L100" s="206">
        <f>6.8*2</f>
        <v>13.6</v>
      </c>
      <c r="M100" s="209"/>
      <c r="N100" s="3"/>
      <c r="O100" s="3"/>
    </row>
    <row r="101" spans="1:15" ht="22.8" x14ac:dyDescent="0.25">
      <c r="A101" s="242">
        <v>96</v>
      </c>
      <c r="B101" s="251" t="s">
        <v>349</v>
      </c>
      <c r="C101" s="243" t="s">
        <v>142</v>
      </c>
      <c r="D101" s="243" t="s">
        <v>156</v>
      </c>
      <c r="E101" s="244" t="s">
        <v>157</v>
      </c>
      <c r="F101" s="252" t="s">
        <v>8</v>
      </c>
      <c r="G101" s="253">
        <v>1</v>
      </c>
      <c r="H101" s="245">
        <v>81270800</v>
      </c>
      <c r="I101" s="247">
        <v>8542228873</v>
      </c>
      <c r="J101" s="254">
        <v>811685734</v>
      </c>
      <c r="K101" s="255" t="s">
        <v>350</v>
      </c>
      <c r="L101" s="249">
        <f>0.3*2</f>
        <v>0.6</v>
      </c>
      <c r="M101" s="250">
        <f>0.7*2</f>
        <v>1.4</v>
      </c>
      <c r="N101" s="3"/>
      <c r="O101" s="3"/>
    </row>
    <row r="102" spans="1:15" ht="22.8" x14ac:dyDescent="0.25">
      <c r="A102" s="174">
        <v>97</v>
      </c>
      <c r="B102" s="191" t="s">
        <v>351</v>
      </c>
      <c r="C102" s="191" t="s">
        <v>142</v>
      </c>
      <c r="D102" s="191" t="s">
        <v>156</v>
      </c>
      <c r="E102" s="204" t="s">
        <v>157</v>
      </c>
      <c r="F102" s="165" t="s">
        <v>158</v>
      </c>
      <c r="G102" s="205">
        <v>3</v>
      </c>
      <c r="H102" s="165">
        <v>81466505</v>
      </c>
      <c r="I102" s="170">
        <v>8542228873</v>
      </c>
      <c r="J102" s="170">
        <v>811685734</v>
      </c>
      <c r="K102" s="164" t="s">
        <v>352</v>
      </c>
      <c r="L102" s="206">
        <f>0.8*2</f>
        <v>1.6</v>
      </c>
      <c r="M102" s="209"/>
      <c r="N102" s="3"/>
      <c r="O102" s="3"/>
    </row>
    <row r="103" spans="1:15" ht="22.8" x14ac:dyDescent="0.25">
      <c r="A103" s="174">
        <v>98</v>
      </c>
      <c r="B103" s="191" t="s">
        <v>351</v>
      </c>
      <c r="C103" s="191" t="s">
        <v>142</v>
      </c>
      <c r="D103" s="191" t="s">
        <v>156</v>
      </c>
      <c r="E103" s="204" t="s">
        <v>157</v>
      </c>
      <c r="F103" s="165" t="s">
        <v>158</v>
      </c>
      <c r="G103" s="205">
        <v>5</v>
      </c>
      <c r="H103" s="165">
        <v>10080916</v>
      </c>
      <c r="I103" s="170">
        <v>8542228873</v>
      </c>
      <c r="J103" s="170">
        <v>811685734</v>
      </c>
      <c r="K103" s="164" t="s">
        <v>353</v>
      </c>
      <c r="L103" s="206">
        <f>6.8*2</f>
        <v>13.6</v>
      </c>
      <c r="M103" s="209"/>
      <c r="N103" s="3"/>
      <c r="O103" s="3"/>
    </row>
    <row r="104" spans="1:15" ht="22.8" x14ac:dyDescent="0.25">
      <c r="A104" s="174">
        <v>99</v>
      </c>
      <c r="B104" s="191" t="s">
        <v>354</v>
      </c>
      <c r="C104" s="191" t="s">
        <v>142</v>
      </c>
      <c r="D104" s="191" t="s">
        <v>156</v>
      </c>
      <c r="E104" s="204" t="s">
        <v>157</v>
      </c>
      <c r="F104" s="165" t="s">
        <v>158</v>
      </c>
      <c r="G104" s="205">
        <v>2</v>
      </c>
      <c r="H104" s="165">
        <v>23687707</v>
      </c>
      <c r="I104" s="170">
        <v>8542228873</v>
      </c>
      <c r="J104" s="170">
        <v>811685734</v>
      </c>
      <c r="K104" s="164" t="s">
        <v>355</v>
      </c>
      <c r="L104" s="206">
        <f>3.6*2</f>
        <v>7.2</v>
      </c>
      <c r="M104" s="209"/>
      <c r="N104" s="3"/>
      <c r="O104" s="3"/>
    </row>
    <row r="105" spans="1:15" ht="22.8" x14ac:dyDescent="0.25">
      <c r="A105" s="174">
        <v>100</v>
      </c>
      <c r="B105" s="191" t="s">
        <v>356</v>
      </c>
      <c r="C105" s="191" t="s">
        <v>142</v>
      </c>
      <c r="D105" s="191" t="s">
        <v>156</v>
      </c>
      <c r="E105" s="204" t="s">
        <v>157</v>
      </c>
      <c r="F105" s="165" t="s">
        <v>158</v>
      </c>
      <c r="G105" s="205">
        <v>7</v>
      </c>
      <c r="H105" s="165">
        <v>8219388</v>
      </c>
      <c r="I105" s="170">
        <v>8542228873</v>
      </c>
      <c r="J105" s="170">
        <v>811685734</v>
      </c>
      <c r="K105" s="164" t="s">
        <v>357</v>
      </c>
      <c r="L105" s="206">
        <f>2.7*2</f>
        <v>5.4</v>
      </c>
      <c r="M105" s="209"/>
      <c r="N105" s="3"/>
      <c r="O105" s="3"/>
    </row>
    <row r="106" spans="1:15" ht="22.8" x14ac:dyDescent="0.25">
      <c r="A106" s="174">
        <v>101</v>
      </c>
      <c r="B106" s="191" t="s">
        <v>358</v>
      </c>
      <c r="C106" s="191" t="s">
        <v>142</v>
      </c>
      <c r="D106" s="191" t="s">
        <v>156</v>
      </c>
      <c r="E106" s="204" t="s">
        <v>157</v>
      </c>
      <c r="F106" s="165" t="s">
        <v>158</v>
      </c>
      <c r="G106" s="205">
        <v>4</v>
      </c>
      <c r="H106" s="165">
        <v>81435480</v>
      </c>
      <c r="I106" s="170">
        <v>8542228873</v>
      </c>
      <c r="J106" s="170">
        <v>811685734</v>
      </c>
      <c r="K106" s="164" t="s">
        <v>359</v>
      </c>
      <c r="L106" s="206">
        <f>12.4*2</f>
        <v>24.8</v>
      </c>
      <c r="M106" s="209"/>
      <c r="N106" s="3"/>
      <c r="O106" s="3"/>
    </row>
    <row r="107" spans="1:15" ht="22.8" x14ac:dyDescent="0.25">
      <c r="A107" s="174">
        <v>102</v>
      </c>
      <c r="B107" s="191" t="s">
        <v>360</v>
      </c>
      <c r="C107" s="191" t="s">
        <v>142</v>
      </c>
      <c r="D107" s="191" t="s">
        <v>156</v>
      </c>
      <c r="E107" s="204" t="s">
        <v>157</v>
      </c>
      <c r="F107" s="165" t="s">
        <v>158</v>
      </c>
      <c r="G107" s="205">
        <v>17</v>
      </c>
      <c r="H107" s="165">
        <v>56292062</v>
      </c>
      <c r="I107" s="170">
        <v>8542228873</v>
      </c>
      <c r="J107" s="170">
        <v>811685734</v>
      </c>
      <c r="K107" s="164" t="s">
        <v>361</v>
      </c>
      <c r="L107" s="206">
        <f>62*2</f>
        <v>124</v>
      </c>
      <c r="M107" s="209"/>
      <c r="N107" s="3"/>
      <c r="O107" s="3"/>
    </row>
    <row r="108" spans="1:15" ht="22.8" x14ac:dyDescent="0.25">
      <c r="A108" s="174">
        <v>103</v>
      </c>
      <c r="B108" s="191" t="s">
        <v>362</v>
      </c>
      <c r="C108" s="191" t="s">
        <v>142</v>
      </c>
      <c r="D108" s="191" t="s">
        <v>156</v>
      </c>
      <c r="E108" s="204" t="s">
        <v>157</v>
      </c>
      <c r="F108" s="165" t="s">
        <v>158</v>
      </c>
      <c r="G108" s="205">
        <v>4</v>
      </c>
      <c r="H108" s="165">
        <v>8117131</v>
      </c>
      <c r="I108" s="170">
        <v>8542228873</v>
      </c>
      <c r="J108" s="170">
        <v>811685734</v>
      </c>
      <c r="K108" s="164" t="s">
        <v>363</v>
      </c>
      <c r="L108" s="206">
        <f>2.5*2</f>
        <v>5</v>
      </c>
      <c r="M108" s="209"/>
      <c r="N108" s="3"/>
      <c r="O108" s="3"/>
    </row>
    <row r="109" spans="1:15" ht="22.8" x14ac:dyDescent="0.25">
      <c r="A109" s="174">
        <v>104</v>
      </c>
      <c r="B109" s="191" t="s">
        <v>364</v>
      </c>
      <c r="C109" s="191" t="s">
        <v>142</v>
      </c>
      <c r="D109" s="191" t="s">
        <v>156</v>
      </c>
      <c r="E109" s="204" t="s">
        <v>157</v>
      </c>
      <c r="F109" s="165" t="s">
        <v>158</v>
      </c>
      <c r="G109" s="205">
        <v>3</v>
      </c>
      <c r="H109" s="165">
        <v>23585882</v>
      </c>
      <c r="I109" s="170">
        <v>8542228873</v>
      </c>
      <c r="J109" s="170">
        <v>811685734</v>
      </c>
      <c r="K109" s="164" t="s">
        <v>365</v>
      </c>
      <c r="L109" s="206">
        <f>9.2*2</f>
        <v>18.399999999999999</v>
      </c>
      <c r="M109" s="209"/>
      <c r="N109" s="3"/>
      <c r="O109" s="3"/>
    </row>
    <row r="110" spans="1:15" ht="22.8" x14ac:dyDescent="0.25">
      <c r="A110" s="174">
        <v>105</v>
      </c>
      <c r="B110" s="191" t="s">
        <v>364</v>
      </c>
      <c r="C110" s="191" t="s">
        <v>142</v>
      </c>
      <c r="D110" s="191" t="s">
        <v>156</v>
      </c>
      <c r="E110" s="204" t="s">
        <v>157</v>
      </c>
      <c r="F110" s="165" t="s">
        <v>158</v>
      </c>
      <c r="G110" s="205">
        <v>3</v>
      </c>
      <c r="H110" s="165">
        <v>23150938</v>
      </c>
      <c r="I110" s="170">
        <v>8542228873</v>
      </c>
      <c r="J110" s="170">
        <v>811685734</v>
      </c>
      <c r="K110" s="164" t="s">
        <v>366</v>
      </c>
      <c r="L110" s="206">
        <f>5.8*2</f>
        <v>11.6</v>
      </c>
      <c r="M110" s="209"/>
      <c r="N110" s="3"/>
      <c r="O110" s="3"/>
    </row>
    <row r="111" spans="1:15" ht="22.8" x14ac:dyDescent="0.25">
      <c r="A111" s="174">
        <v>106</v>
      </c>
      <c r="B111" s="191" t="s">
        <v>367</v>
      </c>
      <c r="C111" s="191" t="s">
        <v>142</v>
      </c>
      <c r="D111" s="191" t="s">
        <v>156</v>
      </c>
      <c r="E111" s="204" t="s">
        <v>157</v>
      </c>
      <c r="F111" s="165" t="s">
        <v>158</v>
      </c>
      <c r="G111" s="205">
        <v>9</v>
      </c>
      <c r="H111" s="165">
        <v>8978050</v>
      </c>
      <c r="I111" s="170">
        <v>8542228873</v>
      </c>
      <c r="J111" s="170">
        <v>811685734</v>
      </c>
      <c r="K111" s="164" t="s">
        <v>368</v>
      </c>
      <c r="L111" s="206">
        <f>6*2</f>
        <v>12</v>
      </c>
      <c r="M111" s="209"/>
      <c r="N111" s="3"/>
      <c r="O111" s="3"/>
    </row>
    <row r="112" spans="1:15" ht="22.8" x14ac:dyDescent="0.25">
      <c r="A112" s="174">
        <v>107</v>
      </c>
      <c r="B112" s="191" t="s">
        <v>369</v>
      </c>
      <c r="C112" s="191" t="s">
        <v>142</v>
      </c>
      <c r="D112" s="191" t="s">
        <v>156</v>
      </c>
      <c r="E112" s="204" t="s">
        <v>157</v>
      </c>
      <c r="F112" s="165" t="s">
        <v>158</v>
      </c>
      <c r="G112" s="205">
        <v>2</v>
      </c>
      <c r="H112" s="165">
        <v>20576778</v>
      </c>
      <c r="I112" s="170">
        <v>8542228873</v>
      </c>
      <c r="J112" s="170">
        <v>811685734</v>
      </c>
      <c r="K112" s="164" t="s">
        <v>370</v>
      </c>
      <c r="L112" s="206">
        <f>7*2</f>
        <v>14</v>
      </c>
      <c r="M112" s="209"/>
      <c r="N112" s="3"/>
      <c r="O112" s="3"/>
    </row>
    <row r="113" spans="1:15" ht="22.8" x14ac:dyDescent="0.25">
      <c r="A113" s="174">
        <v>108</v>
      </c>
      <c r="B113" s="191" t="s">
        <v>371</v>
      </c>
      <c r="C113" s="191" t="s">
        <v>142</v>
      </c>
      <c r="D113" s="191" t="s">
        <v>156</v>
      </c>
      <c r="E113" s="204" t="s">
        <v>157</v>
      </c>
      <c r="F113" s="165" t="s">
        <v>158</v>
      </c>
      <c r="G113" s="205">
        <v>27</v>
      </c>
      <c r="H113" s="165">
        <v>56121556</v>
      </c>
      <c r="I113" s="170">
        <v>8542228873</v>
      </c>
      <c r="J113" s="170">
        <v>811685734</v>
      </c>
      <c r="K113" s="164" t="s">
        <v>372</v>
      </c>
      <c r="L113" s="206">
        <f>17*2</f>
        <v>34</v>
      </c>
      <c r="M113" s="209"/>
      <c r="N113" s="3"/>
      <c r="O113" s="3"/>
    </row>
    <row r="114" spans="1:15" ht="22.8" x14ac:dyDescent="0.25">
      <c r="A114" s="174">
        <v>109</v>
      </c>
      <c r="B114" s="191" t="s">
        <v>373</v>
      </c>
      <c r="C114" s="191" t="s">
        <v>142</v>
      </c>
      <c r="D114" s="191" t="s">
        <v>156</v>
      </c>
      <c r="E114" s="204" t="s">
        <v>157</v>
      </c>
      <c r="F114" s="165" t="s">
        <v>158</v>
      </c>
      <c r="G114" s="205">
        <v>17</v>
      </c>
      <c r="H114" s="165">
        <v>56072746</v>
      </c>
      <c r="I114" s="170">
        <v>8542228873</v>
      </c>
      <c r="J114" s="170">
        <v>811685734</v>
      </c>
      <c r="K114" s="164" t="s">
        <v>374</v>
      </c>
      <c r="L114" s="206">
        <f>8*2</f>
        <v>16</v>
      </c>
      <c r="M114" s="209"/>
      <c r="N114" s="3"/>
      <c r="O114" s="3"/>
    </row>
    <row r="115" spans="1:15" ht="22.8" x14ac:dyDescent="0.25">
      <c r="A115" s="174">
        <v>110</v>
      </c>
      <c r="B115" s="163" t="s">
        <v>375</v>
      </c>
      <c r="C115" s="191" t="s">
        <v>142</v>
      </c>
      <c r="D115" s="241" t="s">
        <v>156</v>
      </c>
      <c r="E115" s="204" t="s">
        <v>157</v>
      </c>
      <c r="F115" s="162" t="s">
        <v>158</v>
      </c>
      <c r="G115" s="215">
        <v>15</v>
      </c>
      <c r="H115" s="162">
        <v>91820953</v>
      </c>
      <c r="I115" s="170">
        <v>8542228873</v>
      </c>
      <c r="J115" s="170">
        <v>811685734</v>
      </c>
      <c r="K115" s="164" t="s">
        <v>376</v>
      </c>
      <c r="L115" s="206">
        <f>16.6*2</f>
        <v>33.200000000000003</v>
      </c>
      <c r="M115" s="209"/>
      <c r="N115" s="3"/>
      <c r="O115" s="3"/>
    </row>
    <row r="116" spans="1:15" ht="22.8" x14ac:dyDescent="0.25">
      <c r="A116" s="174">
        <v>111</v>
      </c>
      <c r="B116" s="163" t="s">
        <v>377</v>
      </c>
      <c r="C116" s="191" t="s">
        <v>142</v>
      </c>
      <c r="D116" s="191" t="s">
        <v>156</v>
      </c>
      <c r="E116" s="204" t="s">
        <v>157</v>
      </c>
      <c r="F116" s="214" t="s">
        <v>158</v>
      </c>
      <c r="G116" s="215">
        <v>9</v>
      </c>
      <c r="H116" s="165">
        <v>10936262</v>
      </c>
      <c r="I116" s="170">
        <v>8542228873</v>
      </c>
      <c r="J116" s="216">
        <v>811685734</v>
      </c>
      <c r="K116" s="178" t="s">
        <v>378</v>
      </c>
      <c r="L116" s="206">
        <f>6.5*2</f>
        <v>13</v>
      </c>
      <c r="M116" s="209"/>
      <c r="N116" s="3"/>
      <c r="O116" s="3"/>
    </row>
    <row r="117" spans="1:15" ht="22.8" x14ac:dyDescent="0.25">
      <c r="A117" s="174">
        <v>112</v>
      </c>
      <c r="B117" s="191" t="s">
        <v>29</v>
      </c>
      <c r="C117" s="191" t="s">
        <v>142</v>
      </c>
      <c r="D117" s="191" t="s">
        <v>156</v>
      </c>
      <c r="E117" s="204" t="s">
        <v>157</v>
      </c>
      <c r="F117" s="165" t="s">
        <v>158</v>
      </c>
      <c r="G117" s="205">
        <v>17</v>
      </c>
      <c r="H117" s="165">
        <v>56121564</v>
      </c>
      <c r="I117" s="170">
        <v>8542228873</v>
      </c>
      <c r="J117" s="170">
        <v>811685734</v>
      </c>
      <c r="K117" s="164" t="s">
        <v>379</v>
      </c>
      <c r="L117" s="206">
        <f>2*2</f>
        <v>4</v>
      </c>
      <c r="M117" s="209"/>
      <c r="N117" s="3"/>
      <c r="O117" s="3"/>
    </row>
    <row r="118" spans="1:15" ht="22.8" x14ac:dyDescent="0.25">
      <c r="A118" s="218">
        <v>113</v>
      </c>
      <c r="B118" s="220" t="s">
        <v>380</v>
      </c>
      <c r="C118" s="220" t="s">
        <v>142</v>
      </c>
      <c r="D118" s="220" t="s">
        <v>156</v>
      </c>
      <c r="E118" s="221" t="s">
        <v>157</v>
      </c>
      <c r="F118" s="256" t="s">
        <v>6</v>
      </c>
      <c r="G118" s="257">
        <v>27</v>
      </c>
      <c r="H118" s="256">
        <v>56292054</v>
      </c>
      <c r="I118" s="226">
        <v>8542228873</v>
      </c>
      <c r="J118" s="226">
        <v>811685734</v>
      </c>
      <c r="K118" s="227" t="s">
        <v>381</v>
      </c>
      <c r="L118" s="228">
        <f>4*2</f>
        <v>8</v>
      </c>
      <c r="M118" s="229"/>
      <c r="N118" s="3"/>
      <c r="O118" s="3"/>
    </row>
    <row r="119" spans="1:15" ht="22.8" x14ac:dyDescent="0.25">
      <c r="A119" s="174">
        <v>114</v>
      </c>
      <c r="B119" s="191" t="s">
        <v>382</v>
      </c>
      <c r="C119" s="191" t="s">
        <v>142</v>
      </c>
      <c r="D119" s="191" t="s">
        <v>156</v>
      </c>
      <c r="E119" s="204" t="s">
        <v>157</v>
      </c>
      <c r="F119" s="165" t="s">
        <v>158</v>
      </c>
      <c r="G119" s="205">
        <v>1</v>
      </c>
      <c r="H119" s="165">
        <v>81501557</v>
      </c>
      <c r="I119" s="170">
        <v>8542228873</v>
      </c>
      <c r="J119" s="170">
        <v>811685734</v>
      </c>
      <c r="K119" s="164" t="s">
        <v>383</v>
      </c>
      <c r="L119" s="206">
        <f>3*2</f>
        <v>6</v>
      </c>
      <c r="M119" s="209"/>
      <c r="N119" s="3"/>
      <c r="O119" s="3"/>
    </row>
    <row r="120" spans="1:15" ht="22.8" x14ac:dyDescent="0.25">
      <c r="A120" s="174">
        <v>115</v>
      </c>
      <c r="B120" s="163" t="s">
        <v>384</v>
      </c>
      <c r="C120" s="191" t="s">
        <v>142</v>
      </c>
      <c r="D120" s="163" t="s">
        <v>156</v>
      </c>
      <c r="E120" s="204" t="s">
        <v>157</v>
      </c>
      <c r="F120" s="214" t="s">
        <v>158</v>
      </c>
      <c r="G120" s="215">
        <v>9</v>
      </c>
      <c r="H120" s="162">
        <v>10537403</v>
      </c>
      <c r="I120" s="217">
        <v>8542228873</v>
      </c>
      <c r="J120" s="170">
        <v>811685734</v>
      </c>
      <c r="K120" s="164" t="s">
        <v>385</v>
      </c>
      <c r="L120" s="206">
        <f>10*2</f>
        <v>20</v>
      </c>
      <c r="M120" s="209"/>
      <c r="N120" s="3"/>
      <c r="O120" s="3"/>
    </row>
    <row r="121" spans="1:15" ht="22.8" x14ac:dyDescent="0.25">
      <c r="A121" s="310">
        <v>116</v>
      </c>
      <c r="B121" s="311" t="s">
        <v>386</v>
      </c>
      <c r="C121" s="311" t="s">
        <v>142</v>
      </c>
      <c r="D121" s="312" t="s">
        <v>156</v>
      </c>
      <c r="E121" s="313" t="s">
        <v>157</v>
      </c>
      <c r="F121" s="314" t="s">
        <v>158</v>
      </c>
      <c r="G121" s="315">
        <v>11</v>
      </c>
      <c r="H121" s="314">
        <v>46676355</v>
      </c>
      <c r="I121" s="316">
        <v>8542228873</v>
      </c>
      <c r="J121" s="316">
        <v>811685734</v>
      </c>
      <c r="K121" s="317" t="s">
        <v>387</v>
      </c>
      <c r="L121" s="318">
        <f>1.5*2</f>
        <v>3</v>
      </c>
      <c r="M121" s="319"/>
      <c r="N121" s="3"/>
      <c r="O121" s="3"/>
    </row>
    <row r="122" spans="1:15" ht="22.8" x14ac:dyDescent="0.25">
      <c r="A122" s="174">
        <v>117</v>
      </c>
      <c r="B122" s="191" t="s">
        <v>388</v>
      </c>
      <c r="C122" s="191" t="s">
        <v>142</v>
      </c>
      <c r="D122" s="163" t="s">
        <v>156</v>
      </c>
      <c r="E122" s="204" t="s">
        <v>157</v>
      </c>
      <c r="F122" s="165" t="s">
        <v>158</v>
      </c>
      <c r="G122" s="205">
        <v>5</v>
      </c>
      <c r="H122" s="165">
        <v>66257748</v>
      </c>
      <c r="I122" s="170">
        <v>8542228873</v>
      </c>
      <c r="J122" s="170">
        <v>811685734</v>
      </c>
      <c r="K122" s="164" t="s">
        <v>389</v>
      </c>
      <c r="L122" s="206">
        <f>9.2*2</f>
        <v>18.399999999999999</v>
      </c>
      <c r="M122" s="209"/>
      <c r="N122" s="3"/>
      <c r="O122" s="3"/>
    </row>
    <row r="123" spans="1:15" ht="22.8" x14ac:dyDescent="0.25">
      <c r="A123" s="174">
        <v>118</v>
      </c>
      <c r="B123" s="191" t="s">
        <v>390</v>
      </c>
      <c r="C123" s="191" t="s">
        <v>142</v>
      </c>
      <c r="D123" s="191" t="s">
        <v>156</v>
      </c>
      <c r="E123" s="204" t="s">
        <v>157</v>
      </c>
      <c r="F123" s="165" t="s">
        <v>158</v>
      </c>
      <c r="G123" s="205">
        <v>9</v>
      </c>
      <c r="H123" s="210">
        <v>89168932</v>
      </c>
      <c r="I123" s="170">
        <v>8542228873</v>
      </c>
      <c r="J123" s="170">
        <v>811685734</v>
      </c>
      <c r="K123" s="164" t="s">
        <v>391</v>
      </c>
      <c r="L123" s="206">
        <f>19*2</f>
        <v>38</v>
      </c>
      <c r="M123" s="209"/>
      <c r="N123" s="3"/>
      <c r="O123" s="3"/>
    </row>
    <row r="124" spans="1:15" ht="22.8" x14ac:dyDescent="0.25">
      <c r="A124" s="174">
        <v>119</v>
      </c>
      <c r="B124" s="163" t="s">
        <v>392</v>
      </c>
      <c r="C124" s="191" t="s">
        <v>142</v>
      </c>
      <c r="D124" s="191" t="s">
        <v>156</v>
      </c>
      <c r="E124" s="204" t="s">
        <v>157</v>
      </c>
      <c r="F124" s="214" t="s">
        <v>158</v>
      </c>
      <c r="G124" s="215">
        <v>4</v>
      </c>
      <c r="H124" s="165">
        <v>11669581</v>
      </c>
      <c r="I124" s="170">
        <v>8542228873</v>
      </c>
      <c r="J124" s="216">
        <v>811685734</v>
      </c>
      <c r="K124" s="164" t="s">
        <v>393</v>
      </c>
      <c r="L124" s="206">
        <f>7.2*2</f>
        <v>14.4</v>
      </c>
      <c r="M124" s="209"/>
      <c r="N124" s="3"/>
      <c r="O124" s="3"/>
    </row>
    <row r="125" spans="1:15" ht="22.8" x14ac:dyDescent="0.25">
      <c r="A125" s="174">
        <v>120</v>
      </c>
      <c r="B125" s="191" t="s">
        <v>394</v>
      </c>
      <c r="C125" s="191" t="s">
        <v>142</v>
      </c>
      <c r="D125" s="191" t="s">
        <v>156</v>
      </c>
      <c r="E125" s="204" t="s">
        <v>157</v>
      </c>
      <c r="F125" s="165" t="s">
        <v>158</v>
      </c>
      <c r="G125" s="205">
        <v>9</v>
      </c>
      <c r="H125" s="165">
        <v>63707463</v>
      </c>
      <c r="I125" s="170">
        <v>8542228873</v>
      </c>
      <c r="J125" s="170">
        <v>811685734</v>
      </c>
      <c r="K125" s="164" t="s">
        <v>395</v>
      </c>
      <c r="L125" s="206">
        <f>21*2</f>
        <v>42</v>
      </c>
      <c r="M125" s="209"/>
      <c r="N125" s="3"/>
      <c r="O125" s="3"/>
    </row>
    <row r="126" spans="1:15" ht="22.8" x14ac:dyDescent="0.25">
      <c r="A126" s="174">
        <v>121</v>
      </c>
      <c r="B126" s="191" t="s">
        <v>394</v>
      </c>
      <c r="C126" s="191" t="s">
        <v>142</v>
      </c>
      <c r="D126" s="191" t="s">
        <v>156</v>
      </c>
      <c r="E126" s="204" t="s">
        <v>157</v>
      </c>
      <c r="F126" s="165" t="s">
        <v>158</v>
      </c>
      <c r="G126" s="205">
        <v>9</v>
      </c>
      <c r="H126" s="165">
        <v>68028575</v>
      </c>
      <c r="I126" s="170">
        <v>8542228873</v>
      </c>
      <c r="J126" s="170">
        <v>811685734</v>
      </c>
      <c r="K126" s="164" t="s">
        <v>396</v>
      </c>
      <c r="L126" s="206">
        <f>52*2</f>
        <v>104</v>
      </c>
      <c r="M126" s="209"/>
      <c r="N126" s="3"/>
      <c r="O126" s="3"/>
    </row>
    <row r="127" spans="1:15" ht="22.8" x14ac:dyDescent="0.25">
      <c r="A127" s="174">
        <v>122</v>
      </c>
      <c r="B127" s="191" t="s">
        <v>394</v>
      </c>
      <c r="C127" s="191" t="s">
        <v>142</v>
      </c>
      <c r="D127" s="191" t="s">
        <v>156</v>
      </c>
      <c r="E127" s="204" t="s">
        <v>157</v>
      </c>
      <c r="F127" s="165" t="s">
        <v>158</v>
      </c>
      <c r="G127" s="205">
        <v>11</v>
      </c>
      <c r="H127" s="210">
        <v>12245152</v>
      </c>
      <c r="I127" s="170">
        <v>8542228873</v>
      </c>
      <c r="J127" s="170">
        <v>811685734</v>
      </c>
      <c r="K127" s="164" t="s">
        <v>397</v>
      </c>
      <c r="L127" s="206">
        <f>5.5*2</f>
        <v>11</v>
      </c>
      <c r="M127" s="209"/>
      <c r="N127" s="3"/>
      <c r="O127" s="3"/>
    </row>
    <row r="128" spans="1:15" ht="22.8" x14ac:dyDescent="0.25">
      <c r="A128" s="174">
        <v>123</v>
      </c>
      <c r="B128" s="163" t="s">
        <v>398</v>
      </c>
      <c r="C128" s="191" t="s">
        <v>142</v>
      </c>
      <c r="D128" s="163" t="s">
        <v>156</v>
      </c>
      <c r="E128" s="204" t="s">
        <v>157</v>
      </c>
      <c r="F128" s="214" t="s">
        <v>158</v>
      </c>
      <c r="G128" s="215">
        <v>9</v>
      </c>
      <c r="H128" s="162">
        <v>63064524</v>
      </c>
      <c r="I128" s="217">
        <v>8542228873</v>
      </c>
      <c r="J128" s="170">
        <v>811685734</v>
      </c>
      <c r="K128" s="164" t="s">
        <v>399</v>
      </c>
      <c r="L128" s="206">
        <f>7*2</f>
        <v>14</v>
      </c>
      <c r="M128" s="209"/>
      <c r="N128" s="3"/>
      <c r="O128" s="3"/>
    </row>
    <row r="129" spans="1:15" ht="22.8" x14ac:dyDescent="0.25">
      <c r="A129" s="174">
        <v>124</v>
      </c>
      <c r="B129" s="191" t="s">
        <v>400</v>
      </c>
      <c r="C129" s="191" t="s">
        <v>142</v>
      </c>
      <c r="D129" s="191" t="s">
        <v>156</v>
      </c>
      <c r="E129" s="204" t="s">
        <v>157</v>
      </c>
      <c r="F129" s="165" t="s">
        <v>158</v>
      </c>
      <c r="G129" s="205">
        <v>3</v>
      </c>
      <c r="H129" s="165">
        <v>81500374</v>
      </c>
      <c r="I129" s="170">
        <v>8542228873</v>
      </c>
      <c r="J129" s="170">
        <v>811685734</v>
      </c>
      <c r="K129" s="164" t="s">
        <v>401</v>
      </c>
      <c r="L129" s="206">
        <f>16*2</f>
        <v>32</v>
      </c>
      <c r="M129" s="209"/>
      <c r="N129" s="3"/>
      <c r="O129" s="3"/>
    </row>
    <row r="130" spans="1:15" ht="22.8" x14ac:dyDescent="0.25">
      <c r="A130" s="174">
        <v>125</v>
      </c>
      <c r="B130" s="191" t="s">
        <v>400</v>
      </c>
      <c r="C130" s="191" t="s">
        <v>142</v>
      </c>
      <c r="D130" s="191" t="s">
        <v>156</v>
      </c>
      <c r="E130" s="204" t="s">
        <v>157</v>
      </c>
      <c r="F130" s="165" t="s">
        <v>158</v>
      </c>
      <c r="G130" s="205">
        <v>11</v>
      </c>
      <c r="H130" s="165">
        <v>43644737</v>
      </c>
      <c r="I130" s="170">
        <v>8542228873</v>
      </c>
      <c r="J130" s="170">
        <v>811685734</v>
      </c>
      <c r="K130" s="164" t="s">
        <v>402</v>
      </c>
      <c r="L130" s="206">
        <f>7.8*2</f>
        <v>15.6</v>
      </c>
      <c r="M130" s="209"/>
      <c r="N130" s="3"/>
      <c r="O130" s="3"/>
    </row>
    <row r="131" spans="1:15" ht="22.8" x14ac:dyDescent="0.25">
      <c r="A131" s="174">
        <v>126</v>
      </c>
      <c r="B131" s="191" t="s">
        <v>403</v>
      </c>
      <c r="C131" s="191" t="s">
        <v>142</v>
      </c>
      <c r="D131" s="191" t="s">
        <v>156</v>
      </c>
      <c r="E131" s="204" t="s">
        <v>157</v>
      </c>
      <c r="F131" s="165" t="s">
        <v>158</v>
      </c>
      <c r="G131" s="205">
        <v>17</v>
      </c>
      <c r="H131" s="165">
        <v>56121700</v>
      </c>
      <c r="I131" s="170">
        <v>8542228873</v>
      </c>
      <c r="J131" s="170">
        <v>811685734</v>
      </c>
      <c r="K131" s="164" t="s">
        <v>404</v>
      </c>
      <c r="L131" s="206">
        <f>31*2</f>
        <v>62</v>
      </c>
      <c r="M131" s="209"/>
      <c r="N131" s="3"/>
      <c r="O131" s="3"/>
    </row>
    <row r="132" spans="1:15" ht="22.8" x14ac:dyDescent="0.25">
      <c r="A132" s="174">
        <v>127</v>
      </c>
      <c r="B132" s="191" t="s">
        <v>405</v>
      </c>
      <c r="C132" s="191" t="s">
        <v>142</v>
      </c>
      <c r="D132" s="191" t="s">
        <v>156</v>
      </c>
      <c r="E132" s="204" t="s">
        <v>157</v>
      </c>
      <c r="F132" s="165" t="s">
        <v>158</v>
      </c>
      <c r="G132" s="205">
        <v>17</v>
      </c>
      <c r="H132" s="165">
        <v>56121559</v>
      </c>
      <c r="I132" s="170">
        <v>8542228873</v>
      </c>
      <c r="J132" s="170">
        <v>811685734</v>
      </c>
      <c r="K132" s="164" t="s">
        <v>406</v>
      </c>
      <c r="L132" s="206">
        <f>17.8*2</f>
        <v>35.6</v>
      </c>
      <c r="M132" s="209"/>
      <c r="N132" s="3"/>
      <c r="O132" s="3"/>
    </row>
    <row r="133" spans="1:15" ht="22.8" x14ac:dyDescent="0.25">
      <c r="A133" s="174">
        <v>128</v>
      </c>
      <c r="B133" s="191" t="s">
        <v>407</v>
      </c>
      <c r="C133" s="191" t="s">
        <v>142</v>
      </c>
      <c r="D133" s="191" t="s">
        <v>156</v>
      </c>
      <c r="E133" s="204" t="s">
        <v>157</v>
      </c>
      <c r="F133" s="165" t="s">
        <v>158</v>
      </c>
      <c r="G133" s="205">
        <v>2</v>
      </c>
      <c r="H133" s="165">
        <v>81276453</v>
      </c>
      <c r="I133" s="170">
        <v>8542228873</v>
      </c>
      <c r="J133" s="170">
        <v>811685734</v>
      </c>
      <c r="K133" s="164" t="s">
        <v>408</v>
      </c>
      <c r="L133" s="206">
        <f>1.5*2</f>
        <v>3</v>
      </c>
      <c r="M133" s="209"/>
      <c r="N133" s="3"/>
      <c r="O133" s="3"/>
    </row>
    <row r="134" spans="1:15" ht="22.8" x14ac:dyDescent="0.25">
      <c r="A134" s="174">
        <v>129</v>
      </c>
      <c r="B134" s="191" t="s">
        <v>409</v>
      </c>
      <c r="C134" s="191" t="s">
        <v>142</v>
      </c>
      <c r="D134" s="191" t="s">
        <v>156</v>
      </c>
      <c r="E134" s="204" t="s">
        <v>157</v>
      </c>
      <c r="F134" s="165" t="s">
        <v>158</v>
      </c>
      <c r="G134" s="205">
        <v>1</v>
      </c>
      <c r="H134" s="165">
        <v>23403590</v>
      </c>
      <c r="I134" s="170">
        <v>8542228873</v>
      </c>
      <c r="J134" s="170">
        <v>811685734</v>
      </c>
      <c r="K134" s="164" t="s">
        <v>410</v>
      </c>
      <c r="L134" s="206">
        <f>2.8*2</f>
        <v>5.6</v>
      </c>
      <c r="M134" s="209"/>
      <c r="N134" s="3"/>
      <c r="O134" s="3"/>
    </row>
    <row r="135" spans="1:15" ht="22.8" x14ac:dyDescent="0.25">
      <c r="A135" s="174">
        <v>130</v>
      </c>
      <c r="B135" s="191" t="s">
        <v>411</v>
      </c>
      <c r="C135" s="191" t="s">
        <v>142</v>
      </c>
      <c r="D135" s="191" t="s">
        <v>156</v>
      </c>
      <c r="E135" s="204" t="s">
        <v>157</v>
      </c>
      <c r="F135" s="165" t="s">
        <v>158</v>
      </c>
      <c r="G135" s="205">
        <v>11</v>
      </c>
      <c r="H135" s="165">
        <v>9295788</v>
      </c>
      <c r="I135" s="170">
        <v>8542228873</v>
      </c>
      <c r="J135" s="170">
        <v>811685734</v>
      </c>
      <c r="K135" s="164" t="s">
        <v>412</v>
      </c>
      <c r="L135" s="206">
        <f>33*2</f>
        <v>66</v>
      </c>
      <c r="M135" s="209"/>
      <c r="N135" s="3"/>
      <c r="O135" s="3"/>
    </row>
    <row r="136" spans="1:15" ht="22.8" x14ac:dyDescent="0.25">
      <c r="A136" s="174">
        <v>131</v>
      </c>
      <c r="B136" s="191" t="s">
        <v>413</v>
      </c>
      <c r="C136" s="191" t="s">
        <v>142</v>
      </c>
      <c r="D136" s="191" t="s">
        <v>156</v>
      </c>
      <c r="E136" s="204" t="s">
        <v>157</v>
      </c>
      <c r="F136" s="165" t="s">
        <v>158</v>
      </c>
      <c r="G136" s="205">
        <v>1</v>
      </c>
      <c r="H136" s="165">
        <v>81435477</v>
      </c>
      <c r="I136" s="170">
        <v>854222873</v>
      </c>
      <c r="J136" s="170">
        <v>811685734</v>
      </c>
      <c r="K136" s="164" t="s">
        <v>595</v>
      </c>
      <c r="L136" s="206">
        <f>6*2</f>
        <v>12</v>
      </c>
      <c r="M136" s="209"/>
      <c r="N136" s="3"/>
      <c r="O136" s="3"/>
    </row>
    <row r="137" spans="1:15" ht="22.8" x14ac:dyDescent="0.25">
      <c r="A137" s="174">
        <v>132</v>
      </c>
      <c r="B137" s="191" t="s">
        <v>411</v>
      </c>
      <c r="C137" s="191" t="s">
        <v>142</v>
      </c>
      <c r="D137" s="191" t="s">
        <v>156</v>
      </c>
      <c r="E137" s="204" t="s">
        <v>157</v>
      </c>
      <c r="F137" s="165" t="s">
        <v>158</v>
      </c>
      <c r="G137" s="205">
        <v>4</v>
      </c>
      <c r="H137" s="165">
        <v>89123821</v>
      </c>
      <c r="I137" s="170">
        <v>8542228873</v>
      </c>
      <c r="J137" s="170">
        <v>811685734</v>
      </c>
      <c r="K137" s="164" t="s">
        <v>414</v>
      </c>
      <c r="L137" s="206">
        <f>12.5*2</f>
        <v>25</v>
      </c>
      <c r="M137" s="209"/>
      <c r="N137" s="3"/>
      <c r="O137" s="3"/>
    </row>
    <row r="138" spans="1:15" ht="22.8" x14ac:dyDescent="0.25">
      <c r="A138" s="174">
        <v>133</v>
      </c>
      <c r="B138" s="191" t="s">
        <v>415</v>
      </c>
      <c r="C138" s="191" t="s">
        <v>142</v>
      </c>
      <c r="D138" s="191" t="s">
        <v>156</v>
      </c>
      <c r="E138" s="204" t="s">
        <v>157</v>
      </c>
      <c r="F138" s="165" t="s">
        <v>158</v>
      </c>
      <c r="G138" s="205">
        <v>6</v>
      </c>
      <c r="H138" s="165">
        <v>23413495</v>
      </c>
      <c r="I138" s="170">
        <v>8542228873</v>
      </c>
      <c r="J138" s="170">
        <v>811685734</v>
      </c>
      <c r="K138" s="164" t="s">
        <v>416</v>
      </c>
      <c r="L138" s="206">
        <f>18*2</f>
        <v>36</v>
      </c>
      <c r="M138" s="209"/>
      <c r="N138" s="3"/>
      <c r="O138" s="3"/>
    </row>
    <row r="139" spans="1:15" ht="22.8" x14ac:dyDescent="0.25">
      <c r="A139" s="174">
        <v>134</v>
      </c>
      <c r="B139" s="191" t="s">
        <v>417</v>
      </c>
      <c r="C139" s="191" t="s">
        <v>142</v>
      </c>
      <c r="D139" s="191" t="s">
        <v>156</v>
      </c>
      <c r="E139" s="204" t="s">
        <v>157</v>
      </c>
      <c r="F139" s="165" t="s">
        <v>158</v>
      </c>
      <c r="G139" s="205">
        <v>13</v>
      </c>
      <c r="H139" s="165">
        <v>12518571</v>
      </c>
      <c r="I139" s="170">
        <v>8542228873</v>
      </c>
      <c r="J139" s="170">
        <v>811685734</v>
      </c>
      <c r="K139" s="164" t="s">
        <v>418</v>
      </c>
      <c r="L139" s="206">
        <f>5.2*2</f>
        <v>10.4</v>
      </c>
      <c r="M139" s="209"/>
      <c r="N139" s="3"/>
      <c r="O139" s="3"/>
    </row>
    <row r="140" spans="1:15" ht="22.8" x14ac:dyDescent="0.25">
      <c r="A140" s="174">
        <v>135</v>
      </c>
      <c r="B140" s="191" t="s">
        <v>419</v>
      </c>
      <c r="C140" s="191" t="s">
        <v>142</v>
      </c>
      <c r="D140" s="191" t="s">
        <v>156</v>
      </c>
      <c r="E140" s="204" t="s">
        <v>157</v>
      </c>
      <c r="F140" s="165" t="s">
        <v>158</v>
      </c>
      <c r="G140" s="205">
        <v>6</v>
      </c>
      <c r="H140" s="165">
        <v>25768355</v>
      </c>
      <c r="I140" s="170">
        <v>8542228873</v>
      </c>
      <c r="J140" s="170">
        <v>811685734</v>
      </c>
      <c r="K140" s="164" t="s">
        <v>420</v>
      </c>
      <c r="L140" s="206">
        <f>13*2</f>
        <v>26</v>
      </c>
      <c r="M140" s="209"/>
      <c r="N140" s="3"/>
      <c r="O140" s="3"/>
    </row>
    <row r="141" spans="1:15" ht="22.8" x14ac:dyDescent="0.25">
      <c r="A141" s="174">
        <v>136</v>
      </c>
      <c r="B141" s="191" t="s">
        <v>421</v>
      </c>
      <c r="C141" s="191" t="s">
        <v>142</v>
      </c>
      <c r="D141" s="191" t="s">
        <v>156</v>
      </c>
      <c r="E141" s="204" t="s">
        <v>157</v>
      </c>
      <c r="F141" s="165" t="s">
        <v>158</v>
      </c>
      <c r="G141" s="205">
        <v>7</v>
      </c>
      <c r="H141" s="165">
        <v>6604569</v>
      </c>
      <c r="I141" s="170">
        <v>8542228873</v>
      </c>
      <c r="J141" s="170">
        <v>811685734</v>
      </c>
      <c r="K141" s="164" t="s">
        <v>422</v>
      </c>
      <c r="L141" s="206">
        <f>7.1*2</f>
        <v>14.2</v>
      </c>
      <c r="M141" s="209"/>
      <c r="N141" s="3"/>
      <c r="O141" s="3"/>
    </row>
    <row r="142" spans="1:15" ht="22.8" x14ac:dyDescent="0.25">
      <c r="A142" s="174">
        <v>137</v>
      </c>
      <c r="B142" s="163" t="s">
        <v>423</v>
      </c>
      <c r="C142" s="191" t="s">
        <v>142</v>
      </c>
      <c r="D142" s="163" t="s">
        <v>156</v>
      </c>
      <c r="E142" s="204" t="s">
        <v>157</v>
      </c>
      <c r="F142" s="214" t="s">
        <v>158</v>
      </c>
      <c r="G142" s="215">
        <v>1</v>
      </c>
      <c r="H142" s="162">
        <v>83060566</v>
      </c>
      <c r="I142" s="217">
        <v>8542228873</v>
      </c>
      <c r="J142" s="170">
        <v>811685734</v>
      </c>
      <c r="K142" s="164" t="s">
        <v>424</v>
      </c>
      <c r="L142" s="206">
        <f>1.7*2</f>
        <v>3.4</v>
      </c>
      <c r="M142" s="209"/>
      <c r="N142" s="3"/>
      <c r="O142" s="3"/>
    </row>
    <row r="143" spans="1:15" ht="22.8" x14ac:dyDescent="0.25">
      <c r="A143" s="242">
        <v>138</v>
      </c>
      <c r="B143" s="243" t="s">
        <v>425</v>
      </c>
      <c r="C143" s="243" t="s">
        <v>142</v>
      </c>
      <c r="D143" s="243" t="s">
        <v>156</v>
      </c>
      <c r="E143" s="244" t="s">
        <v>157</v>
      </c>
      <c r="F143" s="245" t="s">
        <v>8</v>
      </c>
      <c r="G143" s="246">
        <v>2</v>
      </c>
      <c r="H143" s="245">
        <v>80113286</v>
      </c>
      <c r="I143" s="247">
        <v>8542228873</v>
      </c>
      <c r="J143" s="247">
        <v>811685734</v>
      </c>
      <c r="K143" s="248" t="s">
        <v>426</v>
      </c>
      <c r="L143" s="249">
        <f>0.6*2</f>
        <v>1.2</v>
      </c>
      <c r="M143" s="250">
        <f>1.2*2</f>
        <v>2.4</v>
      </c>
      <c r="N143" s="3"/>
      <c r="O143" s="3"/>
    </row>
    <row r="144" spans="1:15" ht="22.8" x14ac:dyDescent="0.25">
      <c r="A144" s="174">
        <v>139</v>
      </c>
      <c r="B144" s="191" t="s">
        <v>427</v>
      </c>
      <c r="C144" s="191" t="s">
        <v>142</v>
      </c>
      <c r="D144" s="191" t="s">
        <v>156</v>
      </c>
      <c r="E144" s="204" t="s">
        <v>157</v>
      </c>
      <c r="F144" s="165" t="s">
        <v>158</v>
      </c>
      <c r="G144" s="205">
        <v>9</v>
      </c>
      <c r="H144" s="165">
        <v>9286422</v>
      </c>
      <c r="I144" s="170">
        <v>8542228873</v>
      </c>
      <c r="J144" s="170">
        <v>811685734</v>
      </c>
      <c r="K144" s="164" t="s">
        <v>428</v>
      </c>
      <c r="L144" s="206">
        <f>15*2</f>
        <v>30</v>
      </c>
      <c r="M144" s="209"/>
      <c r="N144" s="3"/>
      <c r="O144" s="3"/>
    </row>
    <row r="145" spans="1:15" ht="22.8" x14ac:dyDescent="0.25">
      <c r="A145" s="174">
        <v>140</v>
      </c>
      <c r="B145" s="191" t="s">
        <v>429</v>
      </c>
      <c r="C145" s="191" t="s">
        <v>142</v>
      </c>
      <c r="D145" s="191" t="s">
        <v>156</v>
      </c>
      <c r="E145" s="204" t="s">
        <v>157</v>
      </c>
      <c r="F145" s="165" t="s">
        <v>158</v>
      </c>
      <c r="G145" s="205">
        <v>3</v>
      </c>
      <c r="H145" s="165">
        <v>23299940</v>
      </c>
      <c r="I145" s="170">
        <v>8542228873</v>
      </c>
      <c r="J145" s="170">
        <v>811685734</v>
      </c>
      <c r="K145" s="164" t="s">
        <v>430</v>
      </c>
      <c r="L145" s="206">
        <f>3.2*2</f>
        <v>6.4</v>
      </c>
      <c r="M145" s="209"/>
      <c r="N145" s="3"/>
      <c r="O145" s="3"/>
    </row>
    <row r="146" spans="1:15" ht="22.8" x14ac:dyDescent="0.25">
      <c r="A146" s="174">
        <v>141</v>
      </c>
      <c r="B146" s="163" t="s">
        <v>431</v>
      </c>
      <c r="C146" s="191" t="s">
        <v>142</v>
      </c>
      <c r="D146" s="191" t="s">
        <v>156</v>
      </c>
      <c r="E146" s="204" t="s">
        <v>157</v>
      </c>
      <c r="F146" s="214" t="s">
        <v>158</v>
      </c>
      <c r="G146" s="215">
        <v>9</v>
      </c>
      <c r="H146" s="165">
        <v>12055960</v>
      </c>
      <c r="I146" s="170">
        <v>8542228873</v>
      </c>
      <c r="J146" s="216">
        <v>811685734</v>
      </c>
      <c r="K146" s="178" t="s">
        <v>432</v>
      </c>
      <c r="L146" s="206">
        <f>10*2</f>
        <v>20</v>
      </c>
      <c r="M146" s="209"/>
      <c r="N146" s="3"/>
      <c r="O146" s="3"/>
    </row>
    <row r="147" spans="1:15" ht="22.8" x14ac:dyDescent="0.25">
      <c r="A147" s="174">
        <v>142</v>
      </c>
      <c r="B147" s="191" t="s">
        <v>433</v>
      </c>
      <c r="C147" s="191" t="s">
        <v>142</v>
      </c>
      <c r="D147" s="191" t="s">
        <v>156</v>
      </c>
      <c r="E147" s="204" t="s">
        <v>157</v>
      </c>
      <c r="F147" s="165" t="s">
        <v>158</v>
      </c>
      <c r="G147" s="205">
        <v>17</v>
      </c>
      <c r="H147" s="210">
        <v>56072723</v>
      </c>
      <c r="I147" s="170">
        <v>8542228873</v>
      </c>
      <c r="J147" s="170">
        <v>811685734</v>
      </c>
      <c r="K147" s="164" t="s">
        <v>434</v>
      </c>
      <c r="L147" s="206">
        <f>9.4*2</f>
        <v>18.8</v>
      </c>
      <c r="M147" s="209"/>
      <c r="N147" s="3"/>
      <c r="O147" s="3"/>
    </row>
    <row r="148" spans="1:15" ht="22.8" x14ac:dyDescent="0.25">
      <c r="A148" s="174">
        <v>143</v>
      </c>
      <c r="B148" s="191" t="s">
        <v>435</v>
      </c>
      <c r="C148" s="191" t="s">
        <v>142</v>
      </c>
      <c r="D148" s="191" t="s">
        <v>156</v>
      </c>
      <c r="E148" s="204" t="s">
        <v>157</v>
      </c>
      <c r="F148" s="165" t="s">
        <v>158</v>
      </c>
      <c r="G148" s="205">
        <v>3</v>
      </c>
      <c r="H148" s="165">
        <v>23151195</v>
      </c>
      <c r="I148" s="170">
        <v>8542228873</v>
      </c>
      <c r="J148" s="170">
        <v>811685734</v>
      </c>
      <c r="K148" s="164" t="s">
        <v>436</v>
      </c>
      <c r="L148" s="206">
        <f>6.3*2</f>
        <v>12.6</v>
      </c>
      <c r="M148" s="209"/>
      <c r="N148" s="3"/>
      <c r="O148" s="3"/>
    </row>
    <row r="149" spans="1:15" ht="22.8" x14ac:dyDescent="0.25">
      <c r="A149" s="174">
        <v>144</v>
      </c>
      <c r="B149" s="163" t="s">
        <v>437</v>
      </c>
      <c r="C149" s="191" t="s">
        <v>142</v>
      </c>
      <c r="D149" s="191" t="s">
        <v>156</v>
      </c>
      <c r="E149" s="204" t="s">
        <v>157</v>
      </c>
      <c r="F149" s="214" t="s">
        <v>158</v>
      </c>
      <c r="G149" s="215">
        <v>2</v>
      </c>
      <c r="H149" s="165">
        <v>80474051</v>
      </c>
      <c r="I149" s="170">
        <v>8542228873</v>
      </c>
      <c r="J149" s="216">
        <v>811685734</v>
      </c>
      <c r="K149" s="164" t="s">
        <v>438</v>
      </c>
      <c r="L149" s="206">
        <f>1.2*2</f>
        <v>2.4</v>
      </c>
      <c r="M149" s="209"/>
      <c r="N149" s="3"/>
      <c r="O149" s="3"/>
    </row>
    <row r="150" spans="1:15" ht="22.8" x14ac:dyDescent="0.25">
      <c r="A150" s="174">
        <v>145</v>
      </c>
      <c r="B150" s="163" t="s">
        <v>439</v>
      </c>
      <c r="C150" s="191" t="s">
        <v>142</v>
      </c>
      <c r="D150" s="191" t="s">
        <v>156</v>
      </c>
      <c r="E150" s="204" t="s">
        <v>157</v>
      </c>
      <c r="F150" s="214" t="s">
        <v>158</v>
      </c>
      <c r="G150" s="215">
        <v>9</v>
      </c>
      <c r="H150" s="165">
        <v>63707407</v>
      </c>
      <c r="I150" s="170">
        <v>8542228873</v>
      </c>
      <c r="J150" s="216">
        <v>811685734</v>
      </c>
      <c r="K150" s="178" t="s">
        <v>440</v>
      </c>
      <c r="L150" s="206">
        <f>3.2*2</f>
        <v>6.4</v>
      </c>
      <c r="M150" s="209"/>
      <c r="N150" s="3"/>
      <c r="O150" s="3"/>
    </row>
    <row r="151" spans="1:15" ht="22.8" x14ac:dyDescent="0.25">
      <c r="A151" s="174">
        <v>146</v>
      </c>
      <c r="B151" s="191" t="s">
        <v>441</v>
      </c>
      <c r="C151" s="191" t="s">
        <v>142</v>
      </c>
      <c r="D151" s="191" t="s">
        <v>156</v>
      </c>
      <c r="E151" s="204" t="s">
        <v>157</v>
      </c>
      <c r="F151" s="165" t="s">
        <v>158</v>
      </c>
      <c r="G151" s="205">
        <v>3</v>
      </c>
      <c r="H151" s="165">
        <v>26476657</v>
      </c>
      <c r="I151" s="170">
        <v>8542228873</v>
      </c>
      <c r="J151" s="170">
        <v>811685734</v>
      </c>
      <c r="K151" s="164" t="s">
        <v>442</v>
      </c>
      <c r="L151" s="206">
        <f>22*2</f>
        <v>44</v>
      </c>
      <c r="M151" s="209"/>
      <c r="N151" s="3"/>
      <c r="O151" s="3"/>
    </row>
    <row r="152" spans="1:15" ht="22.8" x14ac:dyDescent="0.25">
      <c r="A152" s="174">
        <v>147</v>
      </c>
      <c r="B152" s="191" t="s">
        <v>443</v>
      </c>
      <c r="C152" s="191" t="s">
        <v>142</v>
      </c>
      <c r="D152" s="191" t="s">
        <v>156</v>
      </c>
      <c r="E152" s="204" t="s">
        <v>157</v>
      </c>
      <c r="F152" s="165" t="s">
        <v>158</v>
      </c>
      <c r="G152" s="205">
        <v>2</v>
      </c>
      <c r="H152" s="165">
        <v>81294600</v>
      </c>
      <c r="I152" s="170">
        <v>8542228873</v>
      </c>
      <c r="J152" s="170">
        <v>811685734</v>
      </c>
      <c r="K152" s="164" t="s">
        <v>444</v>
      </c>
      <c r="L152" s="206">
        <f>3.8*2</f>
        <v>7.6</v>
      </c>
      <c r="M152" s="209"/>
      <c r="N152" s="3"/>
      <c r="O152" s="3"/>
    </row>
    <row r="153" spans="1:15" ht="22.8" x14ac:dyDescent="0.25">
      <c r="A153" s="174">
        <v>148</v>
      </c>
      <c r="B153" s="163" t="s">
        <v>445</v>
      </c>
      <c r="C153" s="191" t="s">
        <v>142</v>
      </c>
      <c r="D153" s="191" t="s">
        <v>156</v>
      </c>
      <c r="E153" s="204" t="s">
        <v>157</v>
      </c>
      <c r="F153" s="214" t="s">
        <v>158</v>
      </c>
      <c r="G153" s="215">
        <v>1</v>
      </c>
      <c r="H153" s="165">
        <v>22136231</v>
      </c>
      <c r="I153" s="170">
        <v>8542228873</v>
      </c>
      <c r="J153" s="216">
        <v>811685734</v>
      </c>
      <c r="K153" s="178" t="s">
        <v>446</v>
      </c>
      <c r="L153" s="206">
        <f>6.8*2</f>
        <v>13.6</v>
      </c>
      <c r="M153" s="209"/>
      <c r="N153" s="3"/>
      <c r="O153" s="3"/>
    </row>
    <row r="154" spans="1:15" ht="22.8" x14ac:dyDescent="0.25">
      <c r="A154" s="174">
        <v>149</v>
      </c>
      <c r="B154" s="191" t="s">
        <v>447</v>
      </c>
      <c r="C154" s="191" t="s">
        <v>142</v>
      </c>
      <c r="D154" s="191" t="s">
        <v>156</v>
      </c>
      <c r="E154" s="204" t="s">
        <v>157</v>
      </c>
      <c r="F154" s="165" t="s">
        <v>158</v>
      </c>
      <c r="G154" s="205">
        <v>1</v>
      </c>
      <c r="H154" s="165">
        <v>60326243</v>
      </c>
      <c r="I154" s="170">
        <v>8542228873</v>
      </c>
      <c r="J154" s="170">
        <v>811685734</v>
      </c>
      <c r="K154" s="164" t="s">
        <v>448</v>
      </c>
      <c r="L154" s="206">
        <f>1.5*2</f>
        <v>3</v>
      </c>
      <c r="M154" s="209"/>
      <c r="N154" s="3"/>
      <c r="O154" s="3"/>
    </row>
    <row r="155" spans="1:15" ht="22.8" x14ac:dyDescent="0.25">
      <c r="A155" s="174">
        <v>150</v>
      </c>
      <c r="B155" s="191" t="s">
        <v>449</v>
      </c>
      <c r="C155" s="191" t="s">
        <v>142</v>
      </c>
      <c r="D155" s="191" t="s">
        <v>156</v>
      </c>
      <c r="E155" s="204" t="s">
        <v>157</v>
      </c>
      <c r="F155" s="165" t="s">
        <v>158</v>
      </c>
      <c r="G155" s="205">
        <v>4</v>
      </c>
      <c r="H155" s="165">
        <v>85988400</v>
      </c>
      <c r="I155" s="170">
        <v>8542228873</v>
      </c>
      <c r="J155" s="170">
        <v>811685734</v>
      </c>
      <c r="K155" s="164" t="s">
        <v>450</v>
      </c>
      <c r="L155" s="206">
        <f>15*2</f>
        <v>30</v>
      </c>
      <c r="M155" s="209"/>
      <c r="N155" s="3"/>
      <c r="O155" s="3"/>
    </row>
    <row r="156" spans="1:15" ht="22.8" x14ac:dyDescent="0.25">
      <c r="A156" s="218">
        <v>151</v>
      </c>
      <c r="B156" s="220" t="s">
        <v>451</v>
      </c>
      <c r="C156" s="220" t="s">
        <v>142</v>
      </c>
      <c r="D156" s="220" t="s">
        <v>156</v>
      </c>
      <c r="E156" s="221" t="s">
        <v>157</v>
      </c>
      <c r="F156" s="256" t="s">
        <v>6</v>
      </c>
      <c r="G156" s="257">
        <v>4</v>
      </c>
      <c r="H156" s="262">
        <v>90568391</v>
      </c>
      <c r="I156" s="226">
        <v>8542228873</v>
      </c>
      <c r="J156" s="226">
        <v>811685734</v>
      </c>
      <c r="K156" s="227" t="s">
        <v>452</v>
      </c>
      <c r="L156" s="228">
        <f>3.5*2</f>
        <v>7</v>
      </c>
      <c r="M156" s="229"/>
      <c r="N156" s="3"/>
      <c r="O156" s="3"/>
    </row>
    <row r="157" spans="1:15" ht="22.8" x14ac:dyDescent="0.25">
      <c r="A157" s="174">
        <v>152</v>
      </c>
      <c r="B157" s="191" t="s">
        <v>453</v>
      </c>
      <c r="C157" s="191" t="s">
        <v>142</v>
      </c>
      <c r="D157" s="191" t="s">
        <v>156</v>
      </c>
      <c r="E157" s="204" t="s">
        <v>157</v>
      </c>
      <c r="F157" s="165" t="s">
        <v>158</v>
      </c>
      <c r="G157" s="205">
        <v>5</v>
      </c>
      <c r="H157" s="165">
        <v>90914725</v>
      </c>
      <c r="I157" s="170">
        <v>8542228873</v>
      </c>
      <c r="J157" s="170">
        <v>811685734</v>
      </c>
      <c r="K157" s="164" t="s">
        <v>454</v>
      </c>
      <c r="L157" s="206">
        <f>11.5*2</f>
        <v>23</v>
      </c>
      <c r="M157" s="209"/>
      <c r="N157" s="3"/>
      <c r="O157" s="3"/>
    </row>
    <row r="158" spans="1:15" ht="22.8" x14ac:dyDescent="0.25">
      <c r="A158" s="174">
        <v>153</v>
      </c>
      <c r="B158" s="191" t="s">
        <v>455</v>
      </c>
      <c r="C158" s="191" t="s">
        <v>142</v>
      </c>
      <c r="D158" s="191" t="s">
        <v>156</v>
      </c>
      <c r="E158" s="204" t="s">
        <v>157</v>
      </c>
      <c r="F158" s="165" t="s">
        <v>158</v>
      </c>
      <c r="G158" s="205">
        <v>1</v>
      </c>
      <c r="H158" s="165">
        <v>23322969</v>
      </c>
      <c r="I158" s="170">
        <v>8542228873</v>
      </c>
      <c r="J158" s="170">
        <v>811685734</v>
      </c>
      <c r="K158" s="164" t="s">
        <v>456</v>
      </c>
      <c r="L158" s="206">
        <f>1.8*2</f>
        <v>3.6</v>
      </c>
      <c r="M158" s="209"/>
      <c r="N158" s="3"/>
      <c r="O158" s="3"/>
    </row>
    <row r="159" spans="1:15" ht="22.8" x14ac:dyDescent="0.25">
      <c r="A159" s="174">
        <v>154</v>
      </c>
      <c r="B159" s="191" t="s">
        <v>457</v>
      </c>
      <c r="C159" s="191" t="s">
        <v>142</v>
      </c>
      <c r="D159" s="191" t="s">
        <v>156</v>
      </c>
      <c r="E159" s="204" t="s">
        <v>157</v>
      </c>
      <c r="F159" s="165" t="s">
        <v>158</v>
      </c>
      <c r="G159" s="205">
        <v>4</v>
      </c>
      <c r="H159" s="165">
        <v>81458566</v>
      </c>
      <c r="I159" s="170">
        <v>8542228873</v>
      </c>
      <c r="J159" s="170">
        <v>811685734</v>
      </c>
      <c r="K159" s="164" t="s">
        <v>458</v>
      </c>
      <c r="L159" s="206">
        <f>0.8*2</f>
        <v>1.6</v>
      </c>
      <c r="M159" s="209"/>
      <c r="N159" s="3"/>
      <c r="O159" s="3"/>
    </row>
    <row r="160" spans="1:15" ht="22.8" x14ac:dyDescent="0.25">
      <c r="A160" s="232">
        <v>155</v>
      </c>
      <c r="B160" s="263" t="s">
        <v>459</v>
      </c>
      <c r="C160" s="263" t="s">
        <v>142</v>
      </c>
      <c r="D160" s="263" t="s">
        <v>156</v>
      </c>
      <c r="E160" s="264" t="s">
        <v>157</v>
      </c>
      <c r="F160" s="265" t="s">
        <v>253</v>
      </c>
      <c r="G160" s="236">
        <v>17</v>
      </c>
      <c r="H160" s="235">
        <v>96523726</v>
      </c>
      <c r="I160" s="238">
        <v>8542228873</v>
      </c>
      <c r="J160" s="238">
        <v>811685734</v>
      </c>
      <c r="K160" s="237" t="s">
        <v>460</v>
      </c>
      <c r="L160" s="239">
        <f>24.5*2</f>
        <v>49</v>
      </c>
      <c r="M160" s="240">
        <f>6*2</f>
        <v>12</v>
      </c>
      <c r="N160" s="3"/>
      <c r="O160" s="3"/>
    </row>
    <row r="161" spans="1:15" ht="22.8" x14ac:dyDescent="0.25">
      <c r="A161" s="174">
        <v>156</v>
      </c>
      <c r="B161" s="191" t="s">
        <v>461</v>
      </c>
      <c r="C161" s="191" t="s">
        <v>142</v>
      </c>
      <c r="D161" s="191" t="s">
        <v>156</v>
      </c>
      <c r="E161" s="204" t="s">
        <v>157</v>
      </c>
      <c r="F161" s="165" t="s">
        <v>158</v>
      </c>
      <c r="G161" s="205">
        <v>6</v>
      </c>
      <c r="H161" s="165">
        <v>23425380</v>
      </c>
      <c r="I161" s="170">
        <v>8542228873</v>
      </c>
      <c r="J161" s="170">
        <v>811685734</v>
      </c>
      <c r="K161" s="164" t="s">
        <v>462</v>
      </c>
      <c r="L161" s="206">
        <f>11*2</f>
        <v>22</v>
      </c>
      <c r="M161" s="209"/>
      <c r="N161" s="3"/>
      <c r="O161" s="3"/>
    </row>
    <row r="162" spans="1:15" ht="22.8" x14ac:dyDescent="0.25">
      <c r="A162" s="174">
        <v>157</v>
      </c>
      <c r="B162" s="191" t="s">
        <v>463</v>
      </c>
      <c r="C162" s="191" t="s">
        <v>142</v>
      </c>
      <c r="D162" s="191" t="s">
        <v>156</v>
      </c>
      <c r="E162" s="204" t="s">
        <v>157</v>
      </c>
      <c r="F162" s="165" t="s">
        <v>158</v>
      </c>
      <c r="G162" s="205">
        <v>3</v>
      </c>
      <c r="H162" s="165">
        <v>26480816</v>
      </c>
      <c r="I162" s="170">
        <v>8542228873</v>
      </c>
      <c r="J162" s="170">
        <v>811685734</v>
      </c>
      <c r="K162" s="164" t="s">
        <v>464</v>
      </c>
      <c r="L162" s="206">
        <f>5.7*2</f>
        <v>11.4</v>
      </c>
      <c r="M162" s="209"/>
      <c r="N162" s="3"/>
      <c r="O162" s="3"/>
    </row>
    <row r="163" spans="1:15" ht="22.8" x14ac:dyDescent="0.25">
      <c r="A163" s="174">
        <v>158</v>
      </c>
      <c r="B163" s="191" t="s">
        <v>465</v>
      </c>
      <c r="C163" s="191" t="s">
        <v>142</v>
      </c>
      <c r="D163" s="191" t="s">
        <v>156</v>
      </c>
      <c r="E163" s="204" t="s">
        <v>157</v>
      </c>
      <c r="F163" s="165" t="s">
        <v>158</v>
      </c>
      <c r="G163" s="205">
        <v>7</v>
      </c>
      <c r="H163" s="165">
        <v>9294876</v>
      </c>
      <c r="I163" s="170">
        <v>8542228873</v>
      </c>
      <c r="J163" s="170">
        <v>811685734</v>
      </c>
      <c r="K163" s="164" t="s">
        <v>466</v>
      </c>
      <c r="L163" s="206">
        <f>29*2</f>
        <v>58</v>
      </c>
      <c r="M163" s="209"/>
      <c r="N163" s="3"/>
      <c r="O163" s="3"/>
    </row>
    <row r="164" spans="1:15" ht="22.8" x14ac:dyDescent="0.25">
      <c r="A164" s="174">
        <v>159</v>
      </c>
      <c r="B164" s="191" t="s">
        <v>467</v>
      </c>
      <c r="C164" s="191" t="s">
        <v>142</v>
      </c>
      <c r="D164" s="191" t="s">
        <v>156</v>
      </c>
      <c r="E164" s="204" t="s">
        <v>157</v>
      </c>
      <c r="F164" s="165" t="s">
        <v>158</v>
      </c>
      <c r="G164" s="205">
        <v>17</v>
      </c>
      <c r="H164" s="165">
        <v>56072721</v>
      </c>
      <c r="I164" s="170">
        <v>8542228873</v>
      </c>
      <c r="J164" s="170">
        <v>811685734</v>
      </c>
      <c r="K164" s="164" t="s">
        <v>468</v>
      </c>
      <c r="L164" s="206">
        <f>4*2</f>
        <v>8</v>
      </c>
      <c r="M164" s="209"/>
      <c r="N164" s="3"/>
      <c r="O164" s="3"/>
    </row>
    <row r="165" spans="1:15" ht="22.8" x14ac:dyDescent="0.25">
      <c r="A165" s="174">
        <v>160</v>
      </c>
      <c r="B165" s="191" t="s">
        <v>469</v>
      </c>
      <c r="C165" s="191" t="s">
        <v>142</v>
      </c>
      <c r="D165" s="191" t="s">
        <v>156</v>
      </c>
      <c r="E165" s="204" t="s">
        <v>157</v>
      </c>
      <c r="F165" s="165" t="s">
        <v>158</v>
      </c>
      <c r="G165" s="205">
        <v>2</v>
      </c>
      <c r="H165" s="165">
        <v>26546790</v>
      </c>
      <c r="I165" s="170">
        <v>8542228873</v>
      </c>
      <c r="J165" s="170">
        <v>811685734</v>
      </c>
      <c r="K165" s="164" t="s">
        <v>470</v>
      </c>
      <c r="L165" s="206">
        <f>4.3*2</f>
        <v>8.6</v>
      </c>
      <c r="M165" s="209"/>
      <c r="N165" s="3"/>
      <c r="O165" s="3"/>
    </row>
    <row r="166" spans="1:15" ht="22.8" x14ac:dyDescent="0.25">
      <c r="A166" s="174">
        <v>161</v>
      </c>
      <c r="B166" s="191" t="s">
        <v>471</v>
      </c>
      <c r="C166" s="191" t="s">
        <v>142</v>
      </c>
      <c r="D166" s="191" t="s">
        <v>156</v>
      </c>
      <c r="E166" s="204" t="s">
        <v>157</v>
      </c>
      <c r="F166" s="165" t="s">
        <v>158</v>
      </c>
      <c r="G166" s="205">
        <v>3</v>
      </c>
      <c r="H166" s="165">
        <v>26252868</v>
      </c>
      <c r="I166" s="170">
        <v>8542228873</v>
      </c>
      <c r="J166" s="170">
        <v>811685734</v>
      </c>
      <c r="K166" s="164" t="s">
        <v>472</v>
      </c>
      <c r="L166" s="206">
        <f>6.8*2</f>
        <v>13.6</v>
      </c>
      <c r="M166" s="209"/>
      <c r="N166" s="3"/>
      <c r="O166" s="3"/>
    </row>
    <row r="167" spans="1:15" ht="22.8" x14ac:dyDescent="0.25">
      <c r="A167" s="174">
        <v>162</v>
      </c>
      <c r="B167" s="266" t="s">
        <v>473</v>
      </c>
      <c r="C167" s="191" t="s">
        <v>142</v>
      </c>
      <c r="D167" s="191" t="s">
        <v>156</v>
      </c>
      <c r="E167" s="204" t="s">
        <v>157</v>
      </c>
      <c r="F167" s="212" t="s">
        <v>158</v>
      </c>
      <c r="G167" s="212">
        <v>2</v>
      </c>
      <c r="H167" s="213">
        <v>79507404</v>
      </c>
      <c r="I167" s="170">
        <v>8542228873</v>
      </c>
      <c r="J167" s="170">
        <v>811685734</v>
      </c>
      <c r="K167" s="164" t="s">
        <v>474</v>
      </c>
      <c r="L167" s="206">
        <v>6</v>
      </c>
      <c r="M167" s="209"/>
      <c r="N167" s="3"/>
      <c r="O167" s="3"/>
    </row>
    <row r="168" spans="1:15" ht="22.8" x14ac:dyDescent="0.25">
      <c r="A168" s="174">
        <v>163</v>
      </c>
      <c r="B168" s="191" t="s">
        <v>475</v>
      </c>
      <c r="C168" s="191" t="s">
        <v>142</v>
      </c>
      <c r="D168" s="191" t="s">
        <v>156</v>
      </c>
      <c r="E168" s="204" t="s">
        <v>157</v>
      </c>
      <c r="F168" s="165" t="s">
        <v>158</v>
      </c>
      <c r="G168" s="205">
        <v>2</v>
      </c>
      <c r="H168" s="165">
        <v>24975659</v>
      </c>
      <c r="I168" s="170">
        <v>8542228873</v>
      </c>
      <c r="J168" s="170">
        <v>811685734</v>
      </c>
      <c r="K168" s="164" t="s">
        <v>476</v>
      </c>
      <c r="L168" s="206">
        <f>4.6*2</f>
        <v>9.1999999999999993</v>
      </c>
      <c r="M168" s="209"/>
      <c r="N168" s="3"/>
      <c r="O168" s="3"/>
    </row>
    <row r="169" spans="1:15" ht="22.8" x14ac:dyDescent="0.25">
      <c r="A169" s="174">
        <v>164</v>
      </c>
      <c r="B169" s="191" t="s">
        <v>475</v>
      </c>
      <c r="C169" s="191" t="s">
        <v>142</v>
      </c>
      <c r="D169" s="191" t="s">
        <v>156</v>
      </c>
      <c r="E169" s="204" t="s">
        <v>157</v>
      </c>
      <c r="F169" s="165" t="s">
        <v>158</v>
      </c>
      <c r="G169" s="205">
        <v>5</v>
      </c>
      <c r="H169" s="165">
        <v>8065238</v>
      </c>
      <c r="I169" s="170">
        <v>8542228873</v>
      </c>
      <c r="J169" s="170">
        <v>811685734</v>
      </c>
      <c r="K169" s="164" t="s">
        <v>477</v>
      </c>
      <c r="L169" s="206">
        <f>2*6.4</f>
        <v>12.8</v>
      </c>
      <c r="M169" s="209"/>
      <c r="N169" s="3"/>
      <c r="O169" s="3"/>
    </row>
    <row r="170" spans="1:15" ht="22.8" x14ac:dyDescent="0.25">
      <c r="A170" s="174">
        <v>165</v>
      </c>
      <c r="B170" s="191" t="s">
        <v>478</v>
      </c>
      <c r="C170" s="191" t="s">
        <v>142</v>
      </c>
      <c r="D170" s="191" t="s">
        <v>156</v>
      </c>
      <c r="E170" s="204" t="s">
        <v>157</v>
      </c>
      <c r="F170" s="165" t="s">
        <v>158</v>
      </c>
      <c r="G170" s="205">
        <v>7</v>
      </c>
      <c r="H170" s="165">
        <v>9306980</v>
      </c>
      <c r="I170" s="170">
        <v>8542228873</v>
      </c>
      <c r="J170" s="170">
        <v>811685734</v>
      </c>
      <c r="K170" s="164" t="s">
        <v>479</v>
      </c>
      <c r="L170" s="206">
        <f>24*2</f>
        <v>48</v>
      </c>
      <c r="M170" s="209"/>
      <c r="N170" s="3"/>
      <c r="O170" s="3"/>
    </row>
    <row r="171" spans="1:15" ht="22.8" x14ac:dyDescent="0.25">
      <c r="A171" s="174">
        <v>166</v>
      </c>
      <c r="B171" s="191" t="s">
        <v>480</v>
      </c>
      <c r="C171" s="191" t="s">
        <v>142</v>
      </c>
      <c r="D171" s="191" t="s">
        <v>156</v>
      </c>
      <c r="E171" s="204" t="s">
        <v>157</v>
      </c>
      <c r="F171" s="165" t="s">
        <v>158</v>
      </c>
      <c r="G171" s="205">
        <v>4</v>
      </c>
      <c r="H171" s="165">
        <v>70594061</v>
      </c>
      <c r="I171" s="170">
        <v>8542228873</v>
      </c>
      <c r="J171" s="170">
        <v>811685734</v>
      </c>
      <c r="K171" s="164" t="s">
        <v>481</v>
      </c>
      <c r="L171" s="206">
        <f>3.5*2</f>
        <v>7</v>
      </c>
      <c r="M171" s="209"/>
      <c r="N171" s="3"/>
      <c r="O171" s="3"/>
    </row>
    <row r="172" spans="1:15" ht="22.8" x14ac:dyDescent="0.25">
      <c r="A172" s="174">
        <v>167</v>
      </c>
      <c r="B172" s="191" t="s">
        <v>482</v>
      </c>
      <c r="C172" s="191" t="s">
        <v>142</v>
      </c>
      <c r="D172" s="191" t="s">
        <v>156</v>
      </c>
      <c r="E172" s="204" t="s">
        <v>157</v>
      </c>
      <c r="F172" s="165" t="s">
        <v>158</v>
      </c>
      <c r="G172" s="205">
        <v>4</v>
      </c>
      <c r="H172" s="165">
        <v>10596913</v>
      </c>
      <c r="I172" s="170">
        <v>8542228873</v>
      </c>
      <c r="J172" s="170">
        <v>811685734</v>
      </c>
      <c r="K172" s="164" t="s">
        <v>483</v>
      </c>
      <c r="L172" s="206">
        <f>17*2</f>
        <v>34</v>
      </c>
      <c r="M172" s="209"/>
      <c r="N172" s="3"/>
      <c r="O172" s="3"/>
    </row>
    <row r="173" spans="1:15" ht="22.8" x14ac:dyDescent="0.25">
      <c r="A173" s="174">
        <v>168</v>
      </c>
      <c r="B173" s="191" t="s">
        <v>484</v>
      </c>
      <c r="C173" s="191" t="s">
        <v>142</v>
      </c>
      <c r="D173" s="191" t="s">
        <v>156</v>
      </c>
      <c r="E173" s="204" t="s">
        <v>157</v>
      </c>
      <c r="F173" s="165" t="s">
        <v>158</v>
      </c>
      <c r="G173" s="205">
        <v>1</v>
      </c>
      <c r="H173" s="165">
        <v>27750027</v>
      </c>
      <c r="I173" s="170">
        <v>8542228873</v>
      </c>
      <c r="J173" s="170">
        <v>811685734</v>
      </c>
      <c r="K173" s="164" t="s">
        <v>485</v>
      </c>
      <c r="L173" s="206">
        <f>1.3*2</f>
        <v>2.6</v>
      </c>
      <c r="M173" s="209"/>
      <c r="N173" s="3"/>
      <c r="O173" s="3"/>
    </row>
    <row r="174" spans="1:15" ht="22.8" x14ac:dyDescent="0.25">
      <c r="A174" s="174">
        <v>169</v>
      </c>
      <c r="B174" s="191" t="s">
        <v>486</v>
      </c>
      <c r="C174" s="191" t="s">
        <v>142</v>
      </c>
      <c r="D174" s="191" t="s">
        <v>156</v>
      </c>
      <c r="E174" s="204" t="s">
        <v>157</v>
      </c>
      <c r="F174" s="165" t="s">
        <v>158</v>
      </c>
      <c r="G174" s="205">
        <v>11</v>
      </c>
      <c r="H174" s="165">
        <v>91801903</v>
      </c>
      <c r="I174" s="170">
        <v>8542228873</v>
      </c>
      <c r="J174" s="170">
        <v>811685734</v>
      </c>
      <c r="K174" s="164" t="s">
        <v>487</v>
      </c>
      <c r="L174" s="206">
        <f>4.7*2</f>
        <v>9.4</v>
      </c>
      <c r="M174" s="209"/>
      <c r="N174" s="3"/>
      <c r="O174" s="3"/>
    </row>
    <row r="175" spans="1:15" ht="23.4" x14ac:dyDescent="0.25">
      <c r="A175" s="174">
        <v>170</v>
      </c>
      <c r="B175" s="163" t="s">
        <v>488</v>
      </c>
      <c r="C175" s="191" t="s">
        <v>142</v>
      </c>
      <c r="D175" s="191" t="s">
        <v>489</v>
      </c>
      <c r="E175" s="204" t="s">
        <v>157</v>
      </c>
      <c r="F175" s="214" t="s">
        <v>158</v>
      </c>
      <c r="G175" s="215">
        <v>9</v>
      </c>
      <c r="H175" s="165">
        <v>8114391</v>
      </c>
      <c r="I175" s="170">
        <v>8542228873</v>
      </c>
      <c r="J175" s="216">
        <v>811685734</v>
      </c>
      <c r="K175" s="164" t="s">
        <v>490</v>
      </c>
      <c r="L175" s="206">
        <f>2.4*2</f>
        <v>4.8</v>
      </c>
      <c r="M175" s="209"/>
      <c r="N175" s="3"/>
      <c r="O175" s="3"/>
    </row>
    <row r="176" spans="1:15" ht="22.8" x14ac:dyDescent="0.25">
      <c r="A176" s="174">
        <v>171</v>
      </c>
      <c r="B176" s="191" t="s">
        <v>491</v>
      </c>
      <c r="C176" s="191" t="s">
        <v>142</v>
      </c>
      <c r="D176" s="191" t="s">
        <v>156</v>
      </c>
      <c r="E176" s="204" t="s">
        <v>157</v>
      </c>
      <c r="F176" s="165" t="s">
        <v>158</v>
      </c>
      <c r="G176" s="205">
        <v>3</v>
      </c>
      <c r="H176" s="165">
        <v>23160927</v>
      </c>
      <c r="I176" s="170">
        <v>854228873</v>
      </c>
      <c r="J176" s="170">
        <v>811685734</v>
      </c>
      <c r="K176" s="164" t="s">
        <v>492</v>
      </c>
      <c r="L176" s="206">
        <f>7.4*2</f>
        <v>14.8</v>
      </c>
      <c r="M176" s="209"/>
      <c r="N176" s="3"/>
      <c r="O176" s="3"/>
    </row>
    <row r="177" spans="1:15" ht="22.8" x14ac:dyDescent="0.25">
      <c r="A177" s="174">
        <v>172</v>
      </c>
      <c r="B177" s="163" t="s">
        <v>493</v>
      </c>
      <c r="C177" s="191" t="s">
        <v>142</v>
      </c>
      <c r="D177" s="163" t="s">
        <v>156</v>
      </c>
      <c r="E177" s="204" t="s">
        <v>157</v>
      </c>
      <c r="F177" s="214" t="s">
        <v>158</v>
      </c>
      <c r="G177" s="215">
        <v>11</v>
      </c>
      <c r="H177" s="162">
        <v>47945549</v>
      </c>
      <c r="I177" s="217">
        <v>8542228873</v>
      </c>
      <c r="J177" s="170">
        <v>811685734</v>
      </c>
      <c r="K177" s="164" t="s">
        <v>494</v>
      </c>
      <c r="L177" s="206">
        <f>11*2</f>
        <v>22</v>
      </c>
      <c r="M177" s="209"/>
      <c r="N177" s="3"/>
      <c r="O177" s="3"/>
    </row>
    <row r="178" spans="1:15" ht="22.8" x14ac:dyDescent="0.25">
      <c r="A178" s="174">
        <v>173</v>
      </c>
      <c r="B178" s="191" t="s">
        <v>495</v>
      </c>
      <c r="C178" s="191" t="s">
        <v>142</v>
      </c>
      <c r="D178" s="191" t="s">
        <v>156</v>
      </c>
      <c r="E178" s="204" t="s">
        <v>157</v>
      </c>
      <c r="F178" s="165" t="s">
        <v>158</v>
      </c>
      <c r="G178" s="205">
        <v>1</v>
      </c>
      <c r="H178" s="210">
        <v>7730819</v>
      </c>
      <c r="I178" s="170">
        <v>8542228873</v>
      </c>
      <c r="J178" s="170">
        <v>811685734</v>
      </c>
      <c r="K178" s="164" t="s">
        <v>496</v>
      </c>
      <c r="L178" s="206">
        <f>3*2</f>
        <v>6</v>
      </c>
      <c r="M178" s="209"/>
      <c r="N178" s="3"/>
      <c r="O178" s="3"/>
    </row>
    <row r="179" spans="1:15" ht="22.8" x14ac:dyDescent="0.25">
      <c r="A179" s="174">
        <v>174</v>
      </c>
      <c r="B179" s="191" t="s">
        <v>497</v>
      </c>
      <c r="C179" s="191" t="s">
        <v>142</v>
      </c>
      <c r="D179" s="191" t="s">
        <v>156</v>
      </c>
      <c r="E179" s="204" t="s">
        <v>157</v>
      </c>
      <c r="F179" s="165" t="s">
        <v>158</v>
      </c>
      <c r="G179" s="205">
        <v>9</v>
      </c>
      <c r="H179" s="165">
        <v>68028580</v>
      </c>
      <c r="I179" s="170">
        <v>8542228873</v>
      </c>
      <c r="J179" s="170">
        <v>811685734</v>
      </c>
      <c r="K179" s="164" t="s">
        <v>498</v>
      </c>
      <c r="L179" s="206">
        <f>35*2</f>
        <v>70</v>
      </c>
      <c r="M179" s="209"/>
      <c r="N179" s="3"/>
      <c r="O179" s="3"/>
    </row>
    <row r="180" spans="1:15" ht="22.8" x14ac:dyDescent="0.25">
      <c r="A180" s="174">
        <v>175</v>
      </c>
      <c r="B180" s="191" t="s">
        <v>499</v>
      </c>
      <c r="C180" s="191" t="s">
        <v>142</v>
      </c>
      <c r="D180" s="191" t="s">
        <v>156</v>
      </c>
      <c r="E180" s="204" t="s">
        <v>157</v>
      </c>
      <c r="F180" s="165" t="s">
        <v>158</v>
      </c>
      <c r="G180" s="205">
        <v>9</v>
      </c>
      <c r="H180" s="165">
        <v>68029939</v>
      </c>
      <c r="I180" s="170">
        <v>8542228873</v>
      </c>
      <c r="J180" s="170">
        <v>811685734</v>
      </c>
      <c r="K180" s="164" t="s">
        <v>500</v>
      </c>
      <c r="L180" s="206">
        <f>23*2</f>
        <v>46</v>
      </c>
      <c r="M180" s="209"/>
      <c r="N180" s="3"/>
      <c r="O180" s="3"/>
    </row>
    <row r="181" spans="1:15" ht="22.8" x14ac:dyDescent="0.25">
      <c r="A181" s="174">
        <v>176</v>
      </c>
      <c r="B181" s="163" t="s">
        <v>497</v>
      </c>
      <c r="C181" s="191" t="s">
        <v>142</v>
      </c>
      <c r="D181" s="163" t="s">
        <v>156</v>
      </c>
      <c r="E181" s="204" t="s">
        <v>157</v>
      </c>
      <c r="F181" s="214" t="s">
        <v>158</v>
      </c>
      <c r="G181" s="215">
        <v>3</v>
      </c>
      <c r="H181" s="162">
        <v>83060576</v>
      </c>
      <c r="I181" s="217">
        <v>8542228873</v>
      </c>
      <c r="J181" s="165">
        <v>811685734</v>
      </c>
      <c r="K181" s="164" t="s">
        <v>501</v>
      </c>
      <c r="L181" s="206">
        <f>2.2*2</f>
        <v>4.4000000000000004</v>
      </c>
      <c r="M181" s="209"/>
      <c r="N181" s="3"/>
      <c r="O181" s="3"/>
    </row>
    <row r="182" spans="1:15" ht="22.8" x14ac:dyDescent="0.25">
      <c r="A182" s="174">
        <v>177</v>
      </c>
      <c r="B182" s="163" t="s">
        <v>497</v>
      </c>
      <c r="C182" s="191" t="s">
        <v>142</v>
      </c>
      <c r="D182" s="191" t="s">
        <v>156</v>
      </c>
      <c r="E182" s="204" t="s">
        <v>157</v>
      </c>
      <c r="F182" s="214" t="s">
        <v>158</v>
      </c>
      <c r="G182" s="215">
        <v>9</v>
      </c>
      <c r="H182" s="165">
        <v>11669079</v>
      </c>
      <c r="I182" s="170">
        <v>8542228873</v>
      </c>
      <c r="J182" s="216">
        <v>811685734</v>
      </c>
      <c r="K182" s="164" t="s">
        <v>502</v>
      </c>
      <c r="L182" s="206">
        <f>9.2*2</f>
        <v>18.399999999999999</v>
      </c>
      <c r="M182" s="209"/>
      <c r="N182" s="3"/>
      <c r="O182" s="3"/>
    </row>
    <row r="183" spans="1:15" ht="22.8" x14ac:dyDescent="0.25">
      <c r="A183" s="174">
        <v>178</v>
      </c>
      <c r="B183" s="163" t="s">
        <v>503</v>
      </c>
      <c r="C183" s="191" t="s">
        <v>142</v>
      </c>
      <c r="D183" s="191" t="s">
        <v>156</v>
      </c>
      <c r="E183" s="204" t="s">
        <v>157</v>
      </c>
      <c r="F183" s="214" t="s">
        <v>158</v>
      </c>
      <c r="G183" s="215">
        <v>2</v>
      </c>
      <c r="H183" s="165">
        <v>81438341</v>
      </c>
      <c r="I183" s="170">
        <v>8542228873</v>
      </c>
      <c r="J183" s="216">
        <v>811685734</v>
      </c>
      <c r="K183" s="178" t="s">
        <v>504</v>
      </c>
      <c r="L183" s="206">
        <f>1.2*2</f>
        <v>2.4</v>
      </c>
      <c r="M183" s="209"/>
      <c r="N183" s="3"/>
      <c r="O183" s="3"/>
    </row>
    <row r="184" spans="1:15" ht="22.8" x14ac:dyDescent="0.25">
      <c r="A184" s="174">
        <v>179</v>
      </c>
      <c r="B184" s="191" t="s">
        <v>505</v>
      </c>
      <c r="C184" s="191" t="s">
        <v>142</v>
      </c>
      <c r="D184" s="191" t="s">
        <v>156</v>
      </c>
      <c r="E184" s="204" t="s">
        <v>157</v>
      </c>
      <c r="F184" s="165" t="s">
        <v>158</v>
      </c>
      <c r="G184" s="205">
        <v>2</v>
      </c>
      <c r="H184" s="165">
        <v>26424688</v>
      </c>
      <c r="I184" s="170">
        <v>8542228873</v>
      </c>
      <c r="J184" s="170">
        <v>811685734</v>
      </c>
      <c r="K184" s="164" t="s">
        <v>506</v>
      </c>
      <c r="L184" s="206">
        <f>4*2</f>
        <v>8</v>
      </c>
      <c r="M184" s="209"/>
      <c r="N184" s="3"/>
      <c r="O184" s="3"/>
    </row>
    <row r="185" spans="1:15" ht="22.8" x14ac:dyDescent="0.25">
      <c r="A185" s="174">
        <v>180</v>
      </c>
      <c r="B185" s="163" t="s">
        <v>507</v>
      </c>
      <c r="C185" s="191" t="s">
        <v>142</v>
      </c>
      <c r="D185" s="241" t="s">
        <v>156</v>
      </c>
      <c r="E185" s="204" t="s">
        <v>157</v>
      </c>
      <c r="F185" s="214" t="s">
        <v>158</v>
      </c>
      <c r="G185" s="215">
        <v>2</v>
      </c>
      <c r="H185" s="162">
        <v>24026294</v>
      </c>
      <c r="I185" s="217">
        <v>8542228873</v>
      </c>
      <c r="J185" s="170">
        <v>811685734</v>
      </c>
      <c r="K185" s="164" t="s">
        <v>508</v>
      </c>
      <c r="L185" s="206">
        <f>6.7*2</f>
        <v>13.4</v>
      </c>
      <c r="M185" s="209"/>
      <c r="N185" s="3"/>
      <c r="O185" s="3"/>
    </row>
    <row r="186" spans="1:15" ht="22.8" x14ac:dyDescent="0.25">
      <c r="A186" s="242">
        <v>181</v>
      </c>
      <c r="B186" s="243" t="s">
        <v>509</v>
      </c>
      <c r="C186" s="243" t="s">
        <v>142</v>
      </c>
      <c r="D186" s="243" t="s">
        <v>156</v>
      </c>
      <c r="E186" s="244" t="s">
        <v>157</v>
      </c>
      <c r="F186" s="245" t="s">
        <v>8</v>
      </c>
      <c r="G186" s="246">
        <v>2</v>
      </c>
      <c r="H186" s="245">
        <v>60941615</v>
      </c>
      <c r="I186" s="247">
        <v>8542228873</v>
      </c>
      <c r="J186" s="247">
        <v>811685734</v>
      </c>
      <c r="K186" s="248" t="s">
        <v>510</v>
      </c>
      <c r="L186" s="249">
        <f>0.4*2</f>
        <v>0.8</v>
      </c>
      <c r="M186" s="250">
        <f>1.5*2</f>
        <v>3</v>
      </c>
      <c r="N186" s="3"/>
      <c r="O186" s="3"/>
    </row>
    <row r="187" spans="1:15" ht="22.8" x14ac:dyDescent="0.25">
      <c r="A187" s="174">
        <v>182</v>
      </c>
      <c r="B187" s="191" t="s">
        <v>511</v>
      </c>
      <c r="C187" s="191" t="s">
        <v>142</v>
      </c>
      <c r="D187" s="191" t="s">
        <v>156</v>
      </c>
      <c r="E187" s="204" t="s">
        <v>157</v>
      </c>
      <c r="F187" s="165" t="s">
        <v>158</v>
      </c>
      <c r="G187" s="205">
        <v>11</v>
      </c>
      <c r="H187" s="165">
        <v>91839126</v>
      </c>
      <c r="I187" s="170">
        <v>8542228873</v>
      </c>
      <c r="J187" s="170">
        <v>811685734</v>
      </c>
      <c r="K187" s="164" t="s">
        <v>512</v>
      </c>
      <c r="L187" s="206">
        <f>10.8*2</f>
        <v>21.6</v>
      </c>
      <c r="M187" s="209"/>
      <c r="N187" s="3"/>
      <c r="O187" s="3"/>
    </row>
    <row r="188" spans="1:15" ht="22.8" x14ac:dyDescent="0.25">
      <c r="A188" s="174">
        <v>183</v>
      </c>
      <c r="B188" s="191" t="s">
        <v>513</v>
      </c>
      <c r="C188" s="191" t="s">
        <v>142</v>
      </c>
      <c r="D188" s="191" t="s">
        <v>156</v>
      </c>
      <c r="E188" s="204" t="s">
        <v>157</v>
      </c>
      <c r="F188" s="165" t="s">
        <v>158</v>
      </c>
      <c r="G188" s="205">
        <v>3</v>
      </c>
      <c r="H188" s="165">
        <v>26513599</v>
      </c>
      <c r="I188" s="170">
        <v>8542228873</v>
      </c>
      <c r="J188" s="170">
        <v>811685734</v>
      </c>
      <c r="K188" s="164" t="s">
        <v>514</v>
      </c>
      <c r="L188" s="206">
        <f>11*2</f>
        <v>22</v>
      </c>
      <c r="M188" s="209"/>
      <c r="N188" s="3"/>
      <c r="O188" s="3"/>
    </row>
    <row r="189" spans="1:15" ht="22.8" x14ac:dyDescent="0.25">
      <c r="A189" s="174">
        <v>184</v>
      </c>
      <c r="B189" s="191" t="s">
        <v>515</v>
      </c>
      <c r="C189" s="191" t="s">
        <v>142</v>
      </c>
      <c r="D189" s="191" t="s">
        <v>156</v>
      </c>
      <c r="E189" s="204" t="s">
        <v>157</v>
      </c>
      <c r="F189" s="165" t="s">
        <v>158</v>
      </c>
      <c r="G189" s="205">
        <v>15</v>
      </c>
      <c r="H189" s="165">
        <v>91819138</v>
      </c>
      <c r="I189" s="170">
        <v>8542228873</v>
      </c>
      <c r="J189" s="170">
        <v>811685734</v>
      </c>
      <c r="K189" s="164" t="s">
        <v>516</v>
      </c>
      <c r="L189" s="206">
        <f>12.7*2</f>
        <v>25.4</v>
      </c>
      <c r="M189" s="209"/>
      <c r="N189" s="3"/>
      <c r="O189" s="3"/>
    </row>
    <row r="190" spans="1:15" ht="22.8" x14ac:dyDescent="0.25">
      <c r="A190" s="174">
        <v>185</v>
      </c>
      <c r="B190" s="191" t="s">
        <v>517</v>
      </c>
      <c r="C190" s="191" t="s">
        <v>142</v>
      </c>
      <c r="D190" s="191" t="s">
        <v>156</v>
      </c>
      <c r="E190" s="204" t="s">
        <v>157</v>
      </c>
      <c r="F190" s="165" t="s">
        <v>158</v>
      </c>
      <c r="G190" s="205">
        <v>9</v>
      </c>
      <c r="H190" s="165">
        <v>70595709</v>
      </c>
      <c r="I190" s="170">
        <v>8542228873</v>
      </c>
      <c r="J190" s="170">
        <v>811685734</v>
      </c>
      <c r="K190" s="164" t="s">
        <v>518</v>
      </c>
      <c r="L190" s="206">
        <f>27.5*2</f>
        <v>55</v>
      </c>
      <c r="M190" s="209"/>
      <c r="N190" s="3"/>
      <c r="O190" s="3"/>
    </row>
    <row r="191" spans="1:15" ht="22.8" x14ac:dyDescent="0.25">
      <c r="A191" s="174">
        <v>186</v>
      </c>
      <c r="B191" s="191" t="s">
        <v>519</v>
      </c>
      <c r="C191" s="191" t="s">
        <v>142</v>
      </c>
      <c r="D191" s="191" t="s">
        <v>156</v>
      </c>
      <c r="E191" s="204" t="s">
        <v>157</v>
      </c>
      <c r="F191" s="165" t="s">
        <v>158</v>
      </c>
      <c r="G191" s="205">
        <v>14</v>
      </c>
      <c r="H191" s="165">
        <v>81530788</v>
      </c>
      <c r="I191" s="170">
        <v>8542228873</v>
      </c>
      <c r="J191" s="170">
        <v>811685734</v>
      </c>
      <c r="K191" s="164" t="s">
        <v>520</v>
      </c>
      <c r="L191" s="206">
        <f>45*2</f>
        <v>90</v>
      </c>
      <c r="M191" s="209"/>
      <c r="N191" s="3"/>
      <c r="O191" s="3"/>
    </row>
    <row r="192" spans="1:15" ht="22.8" x14ac:dyDescent="0.25">
      <c r="A192" s="174">
        <v>187</v>
      </c>
      <c r="B192" s="191" t="s">
        <v>521</v>
      </c>
      <c r="C192" s="191" t="s">
        <v>142</v>
      </c>
      <c r="D192" s="191" t="s">
        <v>156</v>
      </c>
      <c r="E192" s="204" t="s">
        <v>157</v>
      </c>
      <c r="F192" s="165" t="s">
        <v>158</v>
      </c>
      <c r="G192" s="205">
        <v>11</v>
      </c>
      <c r="H192" s="165">
        <v>81538746</v>
      </c>
      <c r="I192" s="170">
        <v>8542228873</v>
      </c>
      <c r="J192" s="170">
        <v>811685734</v>
      </c>
      <c r="K192" s="164" t="s">
        <v>522</v>
      </c>
      <c r="L192" s="206">
        <f>27*2</f>
        <v>54</v>
      </c>
      <c r="M192" s="209"/>
      <c r="N192" s="3"/>
      <c r="O192" s="3"/>
    </row>
    <row r="193" spans="1:15" ht="22.8" x14ac:dyDescent="0.25">
      <c r="A193" s="174">
        <v>188</v>
      </c>
      <c r="B193" s="191" t="s">
        <v>523</v>
      </c>
      <c r="C193" s="191" t="s">
        <v>142</v>
      </c>
      <c r="D193" s="191" t="s">
        <v>156</v>
      </c>
      <c r="E193" s="204" t="s">
        <v>157</v>
      </c>
      <c r="F193" s="165" t="s">
        <v>158</v>
      </c>
      <c r="G193" s="205">
        <v>9</v>
      </c>
      <c r="H193" s="164" t="s">
        <v>524</v>
      </c>
      <c r="I193" s="170">
        <v>8542228873</v>
      </c>
      <c r="J193" s="170">
        <v>811685734</v>
      </c>
      <c r="K193" s="164" t="s">
        <v>525</v>
      </c>
      <c r="L193" s="206">
        <f>5*2</f>
        <v>10</v>
      </c>
      <c r="M193" s="209"/>
      <c r="N193" s="3"/>
      <c r="O193" s="3"/>
    </row>
    <row r="194" spans="1:15" ht="22.8" x14ac:dyDescent="0.25">
      <c r="A194" s="174">
        <v>189</v>
      </c>
      <c r="B194" s="191" t="s">
        <v>526</v>
      </c>
      <c r="C194" s="191" t="s">
        <v>142</v>
      </c>
      <c r="D194" s="191" t="s">
        <v>156</v>
      </c>
      <c r="E194" s="204" t="s">
        <v>157</v>
      </c>
      <c r="F194" s="165" t="s">
        <v>158</v>
      </c>
      <c r="G194" s="205">
        <v>3</v>
      </c>
      <c r="H194" s="165">
        <v>25650824</v>
      </c>
      <c r="I194" s="170">
        <v>8542228873</v>
      </c>
      <c r="J194" s="170">
        <v>811685734</v>
      </c>
      <c r="K194" s="164" t="s">
        <v>527</v>
      </c>
      <c r="L194" s="206">
        <f>5.4*2</f>
        <v>10.8</v>
      </c>
      <c r="M194" s="209"/>
      <c r="N194" s="3"/>
      <c r="O194" s="3"/>
    </row>
    <row r="195" spans="1:15" ht="22.8" x14ac:dyDescent="0.25">
      <c r="A195" s="174">
        <v>190</v>
      </c>
      <c r="B195" s="191" t="s">
        <v>528</v>
      </c>
      <c r="C195" s="191" t="s">
        <v>142</v>
      </c>
      <c r="D195" s="191" t="s">
        <v>156</v>
      </c>
      <c r="E195" s="204" t="s">
        <v>157</v>
      </c>
      <c r="F195" s="165" t="s">
        <v>158</v>
      </c>
      <c r="G195" s="205">
        <v>5</v>
      </c>
      <c r="H195" s="165">
        <v>9648895</v>
      </c>
      <c r="I195" s="170">
        <v>8542228873</v>
      </c>
      <c r="J195" s="170">
        <v>811685734</v>
      </c>
      <c r="K195" s="164" t="s">
        <v>529</v>
      </c>
      <c r="L195" s="206">
        <f>13*2</f>
        <v>26</v>
      </c>
      <c r="M195" s="209"/>
      <c r="N195" s="3"/>
      <c r="O195" s="3"/>
    </row>
    <row r="196" spans="1:15" ht="22.8" x14ac:dyDescent="0.25">
      <c r="A196" s="174">
        <v>191</v>
      </c>
      <c r="B196" s="163" t="s">
        <v>530</v>
      </c>
      <c r="C196" s="191" t="s">
        <v>142</v>
      </c>
      <c r="D196" s="163" t="s">
        <v>156</v>
      </c>
      <c r="E196" s="204" t="s">
        <v>157</v>
      </c>
      <c r="F196" s="214" t="s">
        <v>158</v>
      </c>
      <c r="G196" s="215">
        <v>1</v>
      </c>
      <c r="H196" s="162">
        <v>26319174</v>
      </c>
      <c r="I196" s="217">
        <v>8542228873</v>
      </c>
      <c r="J196" s="170">
        <v>811685734</v>
      </c>
      <c r="K196" s="164" t="s">
        <v>531</v>
      </c>
      <c r="L196" s="206">
        <f>8*2</f>
        <v>16</v>
      </c>
      <c r="M196" s="209"/>
      <c r="N196" s="3"/>
      <c r="O196" s="3"/>
    </row>
    <row r="197" spans="1:15" ht="22.8" x14ac:dyDescent="0.25">
      <c r="A197" s="174">
        <v>192</v>
      </c>
      <c r="B197" s="191" t="s">
        <v>532</v>
      </c>
      <c r="C197" s="191" t="s">
        <v>142</v>
      </c>
      <c r="D197" s="191" t="s">
        <v>156</v>
      </c>
      <c r="E197" s="204" t="s">
        <v>157</v>
      </c>
      <c r="F197" s="165" t="s">
        <v>158</v>
      </c>
      <c r="G197" s="205">
        <v>3</v>
      </c>
      <c r="H197" s="165">
        <v>23332917</v>
      </c>
      <c r="I197" s="170">
        <v>8542228873</v>
      </c>
      <c r="J197" s="170">
        <v>811685734</v>
      </c>
      <c r="K197" s="164" t="s">
        <v>533</v>
      </c>
      <c r="L197" s="206">
        <f>9*2</f>
        <v>18</v>
      </c>
      <c r="M197" s="209"/>
      <c r="N197" s="3"/>
      <c r="O197" s="3"/>
    </row>
    <row r="198" spans="1:15" ht="22.8" x14ac:dyDescent="0.25">
      <c r="A198" s="174">
        <v>193</v>
      </c>
      <c r="B198" s="191" t="s">
        <v>534</v>
      </c>
      <c r="C198" s="191" t="s">
        <v>142</v>
      </c>
      <c r="D198" s="191" t="s">
        <v>156</v>
      </c>
      <c r="E198" s="204" t="s">
        <v>157</v>
      </c>
      <c r="F198" s="165" t="s">
        <v>158</v>
      </c>
      <c r="G198" s="205">
        <v>4</v>
      </c>
      <c r="H198" s="165">
        <v>11417441</v>
      </c>
      <c r="I198" s="170">
        <v>8542228873</v>
      </c>
      <c r="J198" s="170">
        <v>811685734</v>
      </c>
      <c r="K198" s="164" t="s">
        <v>535</v>
      </c>
      <c r="L198" s="206">
        <f>9*2</f>
        <v>18</v>
      </c>
      <c r="M198" s="209"/>
      <c r="N198" s="3"/>
      <c r="O198" s="3"/>
    </row>
    <row r="199" spans="1:15" ht="22.8" x14ac:dyDescent="0.25">
      <c r="A199" s="174">
        <v>194</v>
      </c>
      <c r="B199" s="191" t="s">
        <v>536</v>
      </c>
      <c r="C199" s="191" t="s">
        <v>142</v>
      </c>
      <c r="D199" s="191" t="s">
        <v>156</v>
      </c>
      <c r="E199" s="204" t="s">
        <v>157</v>
      </c>
      <c r="F199" s="165" t="s">
        <v>158</v>
      </c>
      <c r="G199" s="205">
        <v>7</v>
      </c>
      <c r="H199" s="164" t="s">
        <v>537</v>
      </c>
      <c r="I199" s="170">
        <v>8542228873</v>
      </c>
      <c r="J199" s="170">
        <v>811685734</v>
      </c>
      <c r="K199" s="164" t="s">
        <v>538</v>
      </c>
      <c r="L199" s="206">
        <f>6.9*2</f>
        <v>13.8</v>
      </c>
      <c r="M199" s="209"/>
      <c r="N199" s="3"/>
      <c r="O199" s="3"/>
    </row>
    <row r="200" spans="1:15" ht="22.8" x14ac:dyDescent="0.25">
      <c r="A200" s="174">
        <v>195</v>
      </c>
      <c r="B200" s="191" t="s">
        <v>539</v>
      </c>
      <c r="C200" s="191" t="s">
        <v>142</v>
      </c>
      <c r="D200" s="191" t="s">
        <v>156</v>
      </c>
      <c r="E200" s="204" t="s">
        <v>157</v>
      </c>
      <c r="F200" s="165" t="s">
        <v>6</v>
      </c>
      <c r="G200" s="205">
        <v>3</v>
      </c>
      <c r="H200" s="165">
        <v>19526984</v>
      </c>
      <c r="I200" s="170">
        <v>8542228873</v>
      </c>
      <c r="J200" s="170">
        <v>811685734</v>
      </c>
      <c r="K200" s="164" t="s">
        <v>540</v>
      </c>
      <c r="L200" s="206">
        <f>1.8*2</f>
        <v>3.6</v>
      </c>
      <c r="M200" s="209"/>
      <c r="N200" s="3"/>
      <c r="O200" s="3"/>
    </row>
    <row r="201" spans="1:15" ht="22.8" x14ac:dyDescent="0.25">
      <c r="A201" s="174">
        <v>196</v>
      </c>
      <c r="B201" s="191" t="s">
        <v>541</v>
      </c>
      <c r="C201" s="191" t="s">
        <v>142</v>
      </c>
      <c r="D201" s="191" t="s">
        <v>156</v>
      </c>
      <c r="E201" s="204" t="s">
        <v>157</v>
      </c>
      <c r="F201" s="165" t="s">
        <v>158</v>
      </c>
      <c r="G201" s="205">
        <v>9</v>
      </c>
      <c r="H201" s="165">
        <v>82676825</v>
      </c>
      <c r="I201" s="170">
        <v>8542228873</v>
      </c>
      <c r="J201" s="170">
        <v>811685734</v>
      </c>
      <c r="K201" s="164" t="s">
        <v>542</v>
      </c>
      <c r="L201" s="206">
        <f>22*2</f>
        <v>44</v>
      </c>
      <c r="M201" s="209"/>
      <c r="N201" s="3"/>
      <c r="O201" s="3"/>
    </row>
    <row r="202" spans="1:15" ht="22.8" x14ac:dyDescent="0.25">
      <c r="A202" s="174">
        <v>197</v>
      </c>
      <c r="B202" s="191" t="s">
        <v>543</v>
      </c>
      <c r="C202" s="191" t="s">
        <v>142</v>
      </c>
      <c r="D202" s="191" t="s">
        <v>156</v>
      </c>
      <c r="E202" s="204" t="s">
        <v>157</v>
      </c>
      <c r="F202" s="165" t="s">
        <v>158</v>
      </c>
      <c r="G202" s="205">
        <v>14</v>
      </c>
      <c r="H202" s="164" t="s">
        <v>544</v>
      </c>
      <c r="I202" s="170">
        <v>8542228873</v>
      </c>
      <c r="J202" s="170">
        <v>811685734</v>
      </c>
      <c r="K202" s="164" t="s">
        <v>545</v>
      </c>
      <c r="L202" s="206">
        <f>58*2</f>
        <v>116</v>
      </c>
      <c r="M202" s="209"/>
      <c r="N202" s="3"/>
      <c r="O202" s="3"/>
    </row>
    <row r="203" spans="1:15" ht="22.8" x14ac:dyDescent="0.25">
      <c r="A203" s="174">
        <v>198</v>
      </c>
      <c r="B203" s="191" t="s">
        <v>546</v>
      </c>
      <c r="C203" s="191" t="s">
        <v>142</v>
      </c>
      <c r="D203" s="191" t="s">
        <v>156</v>
      </c>
      <c r="E203" s="204" t="s">
        <v>157</v>
      </c>
      <c r="F203" s="165" t="s">
        <v>158</v>
      </c>
      <c r="G203" s="205">
        <v>7</v>
      </c>
      <c r="H203" s="165">
        <v>12286069</v>
      </c>
      <c r="I203" s="170">
        <v>8542228873</v>
      </c>
      <c r="J203" s="170">
        <v>811685734</v>
      </c>
      <c r="K203" s="164" t="s">
        <v>547</v>
      </c>
      <c r="L203" s="206">
        <f>17*2</f>
        <v>34</v>
      </c>
      <c r="M203" s="209"/>
      <c r="N203" s="3"/>
      <c r="O203" s="3"/>
    </row>
    <row r="204" spans="1:15" ht="22.8" x14ac:dyDescent="0.25">
      <c r="A204" s="174">
        <v>199</v>
      </c>
      <c r="B204" s="191" t="s">
        <v>548</v>
      </c>
      <c r="C204" s="191" t="s">
        <v>142</v>
      </c>
      <c r="D204" s="191" t="s">
        <v>156</v>
      </c>
      <c r="E204" s="204" t="s">
        <v>157</v>
      </c>
      <c r="F204" s="165" t="s">
        <v>158</v>
      </c>
      <c r="G204" s="205">
        <v>9</v>
      </c>
      <c r="H204" s="165">
        <v>91800967</v>
      </c>
      <c r="I204" s="170">
        <v>8542228873</v>
      </c>
      <c r="J204" s="170">
        <v>811685734</v>
      </c>
      <c r="K204" s="164" t="s">
        <v>549</v>
      </c>
      <c r="L204" s="206">
        <f>4.4*2</f>
        <v>8.8000000000000007</v>
      </c>
      <c r="M204" s="209"/>
      <c r="N204" s="3"/>
      <c r="O204" s="3"/>
    </row>
    <row r="205" spans="1:15" ht="22.8" x14ac:dyDescent="0.25">
      <c r="A205" s="174">
        <v>200</v>
      </c>
      <c r="B205" s="191" t="s">
        <v>550</v>
      </c>
      <c r="C205" s="191" t="s">
        <v>142</v>
      </c>
      <c r="D205" s="191" t="s">
        <v>156</v>
      </c>
      <c r="E205" s="204" t="s">
        <v>157</v>
      </c>
      <c r="F205" s="165" t="s">
        <v>158</v>
      </c>
      <c r="G205" s="205">
        <v>11</v>
      </c>
      <c r="H205" s="165">
        <v>63694334</v>
      </c>
      <c r="I205" s="170">
        <v>8542228873</v>
      </c>
      <c r="J205" s="170">
        <v>811685734</v>
      </c>
      <c r="K205" s="164" t="s">
        <v>551</v>
      </c>
      <c r="L205" s="206">
        <f>11*2</f>
        <v>22</v>
      </c>
      <c r="M205" s="267"/>
      <c r="N205" s="268"/>
      <c r="O205" s="3"/>
    </row>
    <row r="206" spans="1:15" ht="22.8" x14ac:dyDescent="0.25">
      <c r="A206" s="174">
        <v>201</v>
      </c>
      <c r="B206" s="191" t="s">
        <v>552</v>
      </c>
      <c r="C206" s="191" t="s">
        <v>142</v>
      </c>
      <c r="D206" s="191" t="s">
        <v>156</v>
      </c>
      <c r="E206" s="204" t="s">
        <v>157</v>
      </c>
      <c r="F206" s="165" t="s">
        <v>158</v>
      </c>
      <c r="G206" s="205">
        <v>9</v>
      </c>
      <c r="H206" s="165">
        <v>10108888</v>
      </c>
      <c r="I206" s="170">
        <v>8542228873</v>
      </c>
      <c r="J206" s="170">
        <v>811685734</v>
      </c>
      <c r="K206" s="164" t="s">
        <v>553</v>
      </c>
      <c r="L206" s="206">
        <f>6.1*2</f>
        <v>12.2</v>
      </c>
      <c r="M206" s="267"/>
      <c r="N206" s="268"/>
      <c r="O206" s="3"/>
    </row>
    <row r="207" spans="1:15" ht="22.8" x14ac:dyDescent="0.25">
      <c r="A207" s="174">
        <v>202</v>
      </c>
      <c r="B207" s="191" t="s">
        <v>554</v>
      </c>
      <c r="C207" s="191" t="s">
        <v>142</v>
      </c>
      <c r="D207" s="191" t="s">
        <v>156</v>
      </c>
      <c r="E207" s="204" t="s">
        <v>157</v>
      </c>
      <c r="F207" s="165" t="s">
        <v>158</v>
      </c>
      <c r="G207" s="205">
        <v>22</v>
      </c>
      <c r="H207" s="165">
        <v>56121549</v>
      </c>
      <c r="I207" s="170">
        <v>8542228873</v>
      </c>
      <c r="J207" s="170">
        <v>811685734</v>
      </c>
      <c r="K207" s="164" t="s">
        <v>555</v>
      </c>
      <c r="L207" s="206">
        <f>45*2</f>
        <v>90</v>
      </c>
      <c r="M207" s="267"/>
      <c r="N207" s="268"/>
      <c r="O207" s="3"/>
    </row>
    <row r="208" spans="1:15" ht="22.8" x14ac:dyDescent="0.25">
      <c r="A208" s="174">
        <v>203</v>
      </c>
      <c r="B208" s="191" t="s">
        <v>556</v>
      </c>
      <c r="C208" s="191" t="s">
        <v>142</v>
      </c>
      <c r="D208" s="191" t="s">
        <v>156</v>
      </c>
      <c r="E208" s="204" t="s">
        <v>157</v>
      </c>
      <c r="F208" s="165" t="s">
        <v>158</v>
      </c>
      <c r="G208" s="205">
        <v>6</v>
      </c>
      <c r="H208" s="165">
        <v>81246498</v>
      </c>
      <c r="I208" s="170">
        <v>8542228873</v>
      </c>
      <c r="J208" s="170">
        <v>811685734</v>
      </c>
      <c r="K208" s="164" t="s">
        <v>557</v>
      </c>
      <c r="L208" s="206">
        <f>0.1*2</f>
        <v>0.2</v>
      </c>
      <c r="M208" s="267"/>
      <c r="N208" s="268"/>
      <c r="O208" s="3"/>
    </row>
    <row r="209" spans="1:15" ht="22.8" x14ac:dyDescent="0.25">
      <c r="A209" s="174">
        <v>204</v>
      </c>
      <c r="B209" s="191" t="s">
        <v>558</v>
      </c>
      <c r="C209" s="191" t="s">
        <v>142</v>
      </c>
      <c r="D209" s="191" t="s">
        <v>156</v>
      </c>
      <c r="E209" s="204" t="s">
        <v>157</v>
      </c>
      <c r="F209" s="165" t="s">
        <v>158</v>
      </c>
      <c r="G209" s="205">
        <v>9</v>
      </c>
      <c r="H209" s="165">
        <v>63724749</v>
      </c>
      <c r="I209" s="170">
        <v>8542228873</v>
      </c>
      <c r="J209" s="170">
        <v>811685734</v>
      </c>
      <c r="K209" s="164" t="s">
        <v>559</v>
      </c>
      <c r="L209" s="206">
        <f>6.3*2</f>
        <v>12.6</v>
      </c>
      <c r="M209" s="267"/>
      <c r="N209" s="268"/>
      <c r="O209" s="3"/>
    </row>
    <row r="210" spans="1:15" ht="22.8" x14ac:dyDescent="0.25">
      <c r="A210" s="242">
        <v>205</v>
      </c>
      <c r="B210" s="269" t="s">
        <v>560</v>
      </c>
      <c r="C210" s="243" t="s">
        <v>142</v>
      </c>
      <c r="D210" s="243" t="s">
        <v>156</v>
      </c>
      <c r="E210" s="244" t="s">
        <v>157</v>
      </c>
      <c r="F210" s="270" t="s">
        <v>561</v>
      </c>
      <c r="G210" s="270">
        <v>4</v>
      </c>
      <c r="H210" s="270">
        <v>80373475</v>
      </c>
      <c r="I210" s="247">
        <v>8542228873</v>
      </c>
      <c r="J210" s="247">
        <v>811685734</v>
      </c>
      <c r="K210" s="248" t="s">
        <v>562</v>
      </c>
      <c r="L210" s="249">
        <f>0.6*2</f>
        <v>1.2</v>
      </c>
      <c r="M210" s="250">
        <f>0.9*2</f>
        <v>1.8</v>
      </c>
      <c r="N210" s="3"/>
      <c r="O210" s="3"/>
    </row>
    <row r="211" spans="1:15" ht="22.8" x14ac:dyDescent="0.25">
      <c r="A211" s="174">
        <v>206</v>
      </c>
      <c r="B211" s="191" t="s">
        <v>563</v>
      </c>
      <c r="C211" s="191" t="s">
        <v>142</v>
      </c>
      <c r="D211" s="191" t="s">
        <v>156</v>
      </c>
      <c r="E211" s="204" t="s">
        <v>157</v>
      </c>
      <c r="F211" s="165" t="s">
        <v>158</v>
      </c>
      <c r="G211" s="205">
        <v>2</v>
      </c>
      <c r="H211" s="165">
        <v>26314827</v>
      </c>
      <c r="I211" s="170">
        <v>8542228873</v>
      </c>
      <c r="J211" s="170">
        <v>811685734</v>
      </c>
      <c r="K211" s="164" t="s">
        <v>564</v>
      </c>
      <c r="L211" s="206">
        <f>8*2</f>
        <v>16</v>
      </c>
      <c r="M211" s="209"/>
      <c r="N211" s="3"/>
      <c r="O211" s="3"/>
    </row>
    <row r="212" spans="1:15" ht="22.8" x14ac:dyDescent="0.25">
      <c r="A212" s="174">
        <v>207</v>
      </c>
      <c r="B212" s="191" t="s">
        <v>565</v>
      </c>
      <c r="C212" s="191" t="s">
        <v>142</v>
      </c>
      <c r="D212" s="191" t="s">
        <v>156</v>
      </c>
      <c r="E212" s="204" t="s">
        <v>157</v>
      </c>
      <c r="F212" s="165" t="s">
        <v>158</v>
      </c>
      <c r="G212" s="205">
        <v>3</v>
      </c>
      <c r="H212" s="165">
        <v>20700337</v>
      </c>
      <c r="I212" s="170">
        <v>8542228873</v>
      </c>
      <c r="J212" s="170">
        <v>811685734</v>
      </c>
      <c r="K212" s="164" t="s">
        <v>566</v>
      </c>
      <c r="L212" s="206">
        <f>9.4*2</f>
        <v>18.8</v>
      </c>
      <c r="M212" s="209"/>
      <c r="N212" s="3"/>
      <c r="O212" s="3"/>
    </row>
    <row r="213" spans="1:15" ht="22.8" x14ac:dyDescent="0.25">
      <c r="A213" s="174">
        <v>208</v>
      </c>
      <c r="B213" s="191" t="s">
        <v>567</v>
      </c>
      <c r="C213" s="191" t="s">
        <v>142</v>
      </c>
      <c r="D213" s="191" t="s">
        <v>156</v>
      </c>
      <c r="E213" s="204" t="s">
        <v>157</v>
      </c>
      <c r="F213" s="165" t="s">
        <v>158</v>
      </c>
      <c r="G213" s="205">
        <v>17</v>
      </c>
      <c r="H213" s="165">
        <v>56291147</v>
      </c>
      <c r="I213" s="170">
        <v>8542228873</v>
      </c>
      <c r="J213" s="170">
        <v>811685734</v>
      </c>
      <c r="K213" s="164" t="s">
        <v>568</v>
      </c>
      <c r="L213" s="206">
        <f>25*2</f>
        <v>50</v>
      </c>
      <c r="M213" s="209"/>
      <c r="N213" s="3"/>
      <c r="O213" s="3"/>
    </row>
    <row r="214" spans="1:15" ht="22.8" x14ac:dyDescent="0.25">
      <c r="A214" s="174">
        <v>209</v>
      </c>
      <c r="B214" s="163" t="s">
        <v>569</v>
      </c>
      <c r="C214" s="191" t="s">
        <v>142</v>
      </c>
      <c r="D214" s="191" t="s">
        <v>156</v>
      </c>
      <c r="E214" s="204" t="s">
        <v>157</v>
      </c>
      <c r="F214" s="214" t="s">
        <v>158</v>
      </c>
      <c r="G214" s="215">
        <v>7</v>
      </c>
      <c r="H214" s="165">
        <v>11660499</v>
      </c>
      <c r="I214" s="165">
        <v>8542228873</v>
      </c>
      <c r="J214" s="216">
        <v>811685734</v>
      </c>
      <c r="K214" s="164" t="s">
        <v>570</v>
      </c>
      <c r="L214" s="206">
        <f>15*2</f>
        <v>30</v>
      </c>
      <c r="M214" s="209"/>
      <c r="N214" s="3"/>
      <c r="O214" s="3"/>
    </row>
    <row r="215" spans="1:15" ht="22.8" x14ac:dyDescent="0.25">
      <c r="A215" s="174">
        <v>210</v>
      </c>
      <c r="B215" s="191" t="s">
        <v>571</v>
      </c>
      <c r="C215" s="191" t="s">
        <v>142</v>
      </c>
      <c r="D215" s="191" t="s">
        <v>156</v>
      </c>
      <c r="E215" s="204" t="s">
        <v>157</v>
      </c>
      <c r="F215" s="165" t="s">
        <v>158</v>
      </c>
      <c r="G215" s="205">
        <v>2</v>
      </c>
      <c r="H215" s="165">
        <v>26213721</v>
      </c>
      <c r="I215" s="170">
        <v>8542228873</v>
      </c>
      <c r="J215" s="170">
        <v>811685734</v>
      </c>
      <c r="K215" s="164" t="s">
        <v>572</v>
      </c>
      <c r="L215" s="206">
        <f>2.6*2</f>
        <v>5.2</v>
      </c>
      <c r="M215" s="209"/>
      <c r="N215" s="3"/>
      <c r="O215" s="3"/>
    </row>
    <row r="216" spans="1:15" ht="22.8" x14ac:dyDescent="0.25">
      <c r="A216" s="174">
        <v>211</v>
      </c>
      <c r="B216" s="191" t="s">
        <v>573</v>
      </c>
      <c r="C216" s="191" t="s">
        <v>142</v>
      </c>
      <c r="D216" s="191" t="s">
        <v>156</v>
      </c>
      <c r="E216" s="204" t="s">
        <v>157</v>
      </c>
      <c r="F216" s="165" t="s">
        <v>158</v>
      </c>
      <c r="G216" s="205">
        <v>4</v>
      </c>
      <c r="H216" s="165">
        <v>11487370</v>
      </c>
      <c r="I216" s="170">
        <v>8542228873</v>
      </c>
      <c r="J216" s="170">
        <v>811685734</v>
      </c>
      <c r="K216" s="164" t="s">
        <v>574</v>
      </c>
      <c r="L216" s="206">
        <f>17.8*2</f>
        <v>35.6</v>
      </c>
      <c r="M216" s="209"/>
      <c r="N216" s="3"/>
      <c r="O216" s="3"/>
    </row>
    <row r="217" spans="1:15" ht="25.5" customHeight="1" x14ac:dyDescent="0.25">
      <c r="A217" s="174"/>
      <c r="B217" s="191"/>
      <c r="C217" s="191"/>
      <c r="D217" s="191"/>
      <c r="E217" s="204"/>
      <c r="F217" s="165"/>
      <c r="G217" s="205"/>
      <c r="H217" s="165"/>
      <c r="I217" s="170"/>
      <c r="J217" s="170"/>
      <c r="K217" s="164"/>
      <c r="L217" s="206"/>
      <c r="M217" s="209"/>
      <c r="N217" s="3"/>
      <c r="O217" s="3"/>
    </row>
    <row r="218" spans="1:15" ht="25.5" customHeight="1" x14ac:dyDescent="0.25">
      <c r="A218" s="174"/>
      <c r="B218" s="191" t="s">
        <v>575</v>
      </c>
      <c r="C218" s="191"/>
      <c r="D218" s="191"/>
      <c r="E218" s="204"/>
      <c r="F218" s="165"/>
      <c r="G218" s="205"/>
      <c r="H218" s="165"/>
      <c r="I218" s="170"/>
      <c r="J218" s="170"/>
      <c r="K218" s="164"/>
      <c r="L218" s="206"/>
      <c r="M218" s="209"/>
      <c r="N218" s="3"/>
      <c r="O218" s="3"/>
    </row>
    <row r="219" spans="1:15" ht="26.25" customHeight="1" x14ac:dyDescent="0.25">
      <c r="A219" s="165">
        <v>1</v>
      </c>
      <c r="B219" s="191" t="s">
        <v>576</v>
      </c>
      <c r="C219" s="191" t="s">
        <v>577</v>
      </c>
      <c r="D219" s="191" t="s">
        <v>578</v>
      </c>
      <c r="E219" s="271" t="s">
        <v>579</v>
      </c>
      <c r="F219" s="165" t="s">
        <v>158</v>
      </c>
      <c r="G219" s="205">
        <v>4</v>
      </c>
      <c r="H219" s="165">
        <v>81046874</v>
      </c>
      <c r="I219" s="170">
        <v>8542228873</v>
      </c>
      <c r="J219" s="170">
        <v>811685734</v>
      </c>
      <c r="K219" s="164" t="s">
        <v>580</v>
      </c>
      <c r="L219" s="206">
        <v>0.8</v>
      </c>
      <c r="M219" s="209"/>
      <c r="N219" s="3"/>
      <c r="O219" s="3"/>
    </row>
    <row r="220" spans="1:15" ht="22.8" x14ac:dyDescent="0.25">
      <c r="A220" s="165">
        <v>2</v>
      </c>
      <c r="B220" s="191" t="s">
        <v>581</v>
      </c>
      <c r="C220" s="191" t="s">
        <v>577</v>
      </c>
      <c r="D220" s="191" t="s">
        <v>578</v>
      </c>
      <c r="E220" s="271" t="s">
        <v>579</v>
      </c>
      <c r="F220" s="165" t="s">
        <v>158</v>
      </c>
      <c r="G220" s="205">
        <v>12</v>
      </c>
      <c r="H220" s="165">
        <v>13074301</v>
      </c>
      <c r="I220" s="170">
        <v>8542228873</v>
      </c>
      <c r="J220" s="170">
        <v>811685734</v>
      </c>
      <c r="K220" s="164" t="s">
        <v>582</v>
      </c>
      <c r="L220" s="206">
        <v>24</v>
      </c>
      <c r="M220" s="209"/>
      <c r="N220" s="3"/>
      <c r="O220" s="3"/>
    </row>
    <row r="221" spans="1:15" ht="22.8" x14ac:dyDescent="0.25">
      <c r="A221" s="165">
        <v>3</v>
      </c>
      <c r="B221" s="191" t="s">
        <v>583</v>
      </c>
      <c r="C221" s="191" t="s">
        <v>577</v>
      </c>
      <c r="D221" s="191" t="s">
        <v>578</v>
      </c>
      <c r="E221" s="271" t="s">
        <v>579</v>
      </c>
      <c r="F221" s="165" t="s">
        <v>158</v>
      </c>
      <c r="G221" s="205">
        <v>11</v>
      </c>
      <c r="H221" s="165">
        <v>47950455</v>
      </c>
      <c r="I221" s="170">
        <v>8542228873</v>
      </c>
      <c r="J221" s="170">
        <v>811685734</v>
      </c>
      <c r="K221" s="164" t="s">
        <v>584</v>
      </c>
      <c r="L221" s="206">
        <v>18</v>
      </c>
      <c r="M221" s="209"/>
      <c r="N221" s="3"/>
      <c r="O221" s="3"/>
    </row>
    <row r="222" spans="1:15" ht="25.5" customHeight="1" x14ac:dyDescent="0.25">
      <c r="A222" s="245">
        <v>4</v>
      </c>
      <c r="B222" s="243" t="s">
        <v>585</v>
      </c>
      <c r="C222" s="243"/>
      <c r="D222" s="243"/>
      <c r="E222" s="244"/>
      <c r="F222" s="270" t="s">
        <v>561</v>
      </c>
      <c r="G222" s="246"/>
      <c r="H222" s="245"/>
      <c r="I222" s="247"/>
      <c r="J222" s="247"/>
      <c r="K222" s="248"/>
      <c r="L222" s="249">
        <f>0.6*2</f>
        <v>1.2</v>
      </c>
      <c r="M222" s="250">
        <f>0.9*2</f>
        <v>1.8</v>
      </c>
      <c r="N222" s="3"/>
      <c r="O222" s="3"/>
    </row>
    <row r="223" spans="1:15" ht="25.5" customHeight="1" x14ac:dyDescent="0.25">
      <c r="A223" s="165">
        <v>5</v>
      </c>
      <c r="B223" s="191" t="s">
        <v>497</v>
      </c>
      <c r="C223" s="191"/>
      <c r="D223" s="191"/>
      <c r="E223" s="204"/>
      <c r="F223" s="165" t="s">
        <v>158</v>
      </c>
      <c r="G223" s="205"/>
      <c r="H223" s="165"/>
      <c r="I223" s="170"/>
      <c r="J223" s="170"/>
      <c r="K223" s="164"/>
      <c r="L223" s="206">
        <v>4</v>
      </c>
      <c r="M223" s="209"/>
      <c r="N223" s="3"/>
      <c r="O223" s="3"/>
    </row>
    <row r="224" spans="1:15" ht="24.75" customHeight="1" x14ac:dyDescent="0.25">
      <c r="A224" s="165">
        <v>6</v>
      </c>
      <c r="B224" s="191" t="s">
        <v>586</v>
      </c>
      <c r="C224" s="191"/>
      <c r="D224" s="191"/>
      <c r="E224" s="204"/>
      <c r="F224" s="165" t="s">
        <v>158</v>
      </c>
      <c r="G224" s="205"/>
      <c r="H224" s="165"/>
      <c r="I224" s="170"/>
      <c r="J224" s="170"/>
      <c r="K224" s="164"/>
      <c r="L224" s="206">
        <v>24</v>
      </c>
      <c r="M224" s="209"/>
      <c r="N224" s="3"/>
      <c r="O224" s="3"/>
    </row>
    <row r="225" spans="1:15" x14ac:dyDescent="0.25">
      <c r="A225" s="165"/>
      <c r="B225" s="191"/>
      <c r="C225" s="191"/>
      <c r="D225" s="191"/>
      <c r="E225" s="204"/>
      <c r="F225" s="212"/>
      <c r="G225" s="212"/>
      <c r="H225" s="213"/>
      <c r="I225" s="170"/>
      <c r="J225" s="170"/>
      <c r="K225" s="164"/>
      <c r="L225" s="206"/>
      <c r="M225" s="209"/>
      <c r="N225" s="3"/>
      <c r="O225" s="3"/>
    </row>
    <row r="226" spans="1:15" x14ac:dyDescent="0.25">
      <c r="A226" s="165"/>
      <c r="B226" s="266"/>
      <c r="C226" s="191"/>
      <c r="D226" s="191"/>
      <c r="E226" s="204"/>
      <c r="F226" s="212"/>
      <c r="G226" s="212"/>
      <c r="H226" s="213"/>
      <c r="I226" s="170"/>
      <c r="J226" s="170"/>
      <c r="K226" s="164"/>
      <c r="L226" s="206"/>
      <c r="M226" s="209"/>
      <c r="N226" s="3"/>
      <c r="O226" s="3"/>
    </row>
    <row r="227" spans="1:15" x14ac:dyDescent="0.25">
      <c r="A227" s="14"/>
      <c r="B227" s="272"/>
      <c r="C227" s="273"/>
      <c r="D227" s="273"/>
      <c r="E227" s="274"/>
      <c r="F227" s="275"/>
      <c r="G227" s="275"/>
      <c r="H227" s="276"/>
      <c r="I227" s="64"/>
      <c r="J227" s="64"/>
      <c r="K227" s="47"/>
      <c r="L227" s="50"/>
      <c r="M227" s="277"/>
      <c r="N227" s="3"/>
      <c r="O227" s="3"/>
    </row>
    <row r="228" spans="1:15" x14ac:dyDescent="0.25">
      <c r="A228" s="14"/>
      <c r="B228" s="278"/>
      <c r="C228" s="273"/>
      <c r="D228" s="273"/>
      <c r="E228" s="274"/>
      <c r="F228" s="275"/>
      <c r="G228" s="275"/>
      <c r="H228" s="276"/>
      <c r="I228" s="64"/>
      <c r="J228" s="64"/>
      <c r="K228" s="67"/>
      <c r="L228" s="50"/>
      <c r="M228" s="277"/>
      <c r="N228" s="3"/>
      <c r="O228" s="3"/>
    </row>
    <row r="229" spans="1:15" x14ac:dyDescent="0.25">
      <c r="A229" s="36"/>
      <c r="B229" s="279"/>
      <c r="C229" s="279"/>
      <c r="D229" s="279"/>
      <c r="E229" s="280"/>
      <c r="F229" s="25"/>
      <c r="G229" s="281"/>
      <c r="H229" s="25"/>
      <c r="I229" s="282"/>
      <c r="J229" s="282"/>
      <c r="K229" s="283"/>
      <c r="L229" s="284"/>
      <c r="M229" s="285"/>
      <c r="N229" s="3"/>
      <c r="O229" s="3"/>
    </row>
    <row r="230" spans="1:15" x14ac:dyDescent="0.25">
      <c r="A230" s="286"/>
      <c r="B230" s="273"/>
      <c r="C230" s="273"/>
      <c r="D230" s="287"/>
      <c r="E230" s="273"/>
      <c r="F230" s="14"/>
      <c r="G230" s="288"/>
      <c r="H230" s="14"/>
      <c r="I230" s="64"/>
      <c r="J230" s="64"/>
      <c r="K230" s="289" t="s">
        <v>33</v>
      </c>
      <c r="L230" s="290">
        <f>SUM(L6:L228)</f>
        <v>5164.2</v>
      </c>
      <c r="M230" s="290">
        <f>SUM(M6:M229)</f>
        <v>186.20000000000005</v>
      </c>
      <c r="N230" s="3"/>
      <c r="O230" s="230">
        <f>SUM(L230:M230)</f>
        <v>5350.4</v>
      </c>
    </row>
    <row r="231" spans="1:15" x14ac:dyDescent="0.25">
      <c r="A231" s="286"/>
      <c r="B231" s="273"/>
      <c r="C231" s="273"/>
      <c r="D231" s="287"/>
      <c r="E231" s="273"/>
      <c r="F231" s="14"/>
      <c r="G231" s="288"/>
      <c r="H231" s="14"/>
      <c r="I231" s="64"/>
      <c r="J231" s="64"/>
      <c r="K231" s="291"/>
      <c r="L231" s="66"/>
      <c r="M231" s="66"/>
      <c r="N231" s="3"/>
      <c r="O231" s="3"/>
    </row>
    <row r="232" spans="1:15" x14ac:dyDescent="0.25">
      <c r="A232" s="286"/>
      <c r="B232" s="273"/>
      <c r="C232" s="273"/>
      <c r="D232" s="287"/>
      <c r="E232" s="273"/>
      <c r="F232" s="14"/>
      <c r="G232" s="288"/>
      <c r="H232" s="14"/>
      <c r="I232" s="64"/>
      <c r="J232" s="64"/>
      <c r="K232" s="291"/>
      <c r="L232" s="66"/>
      <c r="M232" s="66"/>
      <c r="N232" s="3"/>
      <c r="O232" s="3"/>
    </row>
    <row r="233" spans="1:15" x14ac:dyDescent="0.25">
      <c r="A233" s="286"/>
      <c r="B233" s="273"/>
      <c r="C233" s="273"/>
      <c r="D233" s="287"/>
      <c r="E233" s="273"/>
      <c r="F233" s="14"/>
      <c r="G233" s="288"/>
      <c r="H233" s="14"/>
      <c r="I233" s="64"/>
      <c r="J233" s="64"/>
      <c r="K233" s="291"/>
      <c r="L233" s="66"/>
      <c r="M233" s="66"/>
      <c r="N233" s="3"/>
      <c r="O233" s="3"/>
    </row>
    <row r="234" spans="1:15" ht="25.5" customHeight="1" x14ac:dyDescent="0.25">
      <c r="A234" s="65"/>
      <c r="B234" s="292" t="s">
        <v>587</v>
      </c>
      <c r="C234" s="273"/>
      <c r="D234" s="273"/>
      <c r="E234" s="273"/>
      <c r="F234" s="14"/>
      <c r="G234" s="288"/>
      <c r="H234" s="14"/>
      <c r="I234" s="64"/>
      <c r="J234" s="64"/>
      <c r="K234" s="291"/>
      <c r="L234" s="50"/>
      <c r="M234" s="50"/>
      <c r="N234" s="3"/>
      <c r="O234" s="3"/>
    </row>
    <row r="235" spans="1:15" ht="25.5" customHeight="1" x14ac:dyDescent="0.25">
      <c r="A235" s="65"/>
      <c r="B235" s="273" t="s">
        <v>588</v>
      </c>
      <c r="C235" s="273"/>
      <c r="D235" s="273"/>
      <c r="E235" s="273"/>
      <c r="F235" s="14"/>
      <c r="G235" s="288"/>
      <c r="H235" s="14"/>
      <c r="I235" s="64"/>
      <c r="J235" s="64"/>
      <c r="K235" s="291"/>
      <c r="L235" s="50">
        <f>SUM(L6:L38)+L40+SUM(L42:L52)+SUM(L54:L64)+L66+SUM(L68:L72)+SUM(L74:L79)+SUM(L81:L82)+SUM(L84:L86)+SUM(L88:L100)+SUM(L102:L117)+SUM(L119:L142)+SUM(L144:L155)+SUM(L157:L159)+SUM(L161:L185)+SUM(L187:L209)+SUM(L219:L221)+SUM(L223:L224)+SUM(L211:L216)</f>
        <v>4988.2000000000007</v>
      </c>
      <c r="M235" s="50"/>
      <c r="N235" s="3"/>
      <c r="O235" s="3"/>
    </row>
    <row r="236" spans="1:15" ht="24.75" customHeight="1" x14ac:dyDescent="0.25">
      <c r="A236" s="65"/>
      <c r="B236" s="273" t="s">
        <v>589</v>
      </c>
      <c r="C236" s="273"/>
      <c r="D236" s="273"/>
      <c r="E236" s="273"/>
      <c r="F236" s="14"/>
      <c r="G236" s="288"/>
      <c r="H236" s="14"/>
      <c r="I236" s="64"/>
      <c r="J236" s="64"/>
      <c r="K236" s="291"/>
      <c r="L236" s="293">
        <f>L39+L41+L118+L156+L83</f>
        <v>26.6</v>
      </c>
      <c r="M236" s="50"/>
      <c r="N236" s="3"/>
      <c r="O236" s="3"/>
    </row>
    <row r="237" spans="1:15" ht="22.8" x14ac:dyDescent="0.25">
      <c r="A237" s="65"/>
      <c r="B237" s="273" t="s">
        <v>590</v>
      </c>
      <c r="C237" s="273"/>
      <c r="D237" s="273"/>
      <c r="E237" s="273"/>
      <c r="F237" s="14"/>
      <c r="G237" s="288"/>
      <c r="H237" s="14"/>
      <c r="I237" s="64"/>
      <c r="J237" s="64"/>
      <c r="K237" s="291"/>
      <c r="L237" s="294">
        <f>L65+L67+L73+L80+L101+L143+L186+L210+L222</f>
        <v>9.3999999999999986</v>
      </c>
      <c r="M237" s="294">
        <f>M65+M67+M73+M80+M101+M143+M186+M210+M222</f>
        <v>18.2</v>
      </c>
      <c r="N237" s="3"/>
      <c r="O237" s="3"/>
    </row>
    <row r="238" spans="1:15" ht="25.5" customHeight="1" x14ac:dyDescent="0.25">
      <c r="A238" s="295"/>
      <c r="B238" s="273" t="s">
        <v>591</v>
      </c>
      <c r="C238" s="273"/>
      <c r="D238" s="273"/>
      <c r="E238" s="273"/>
      <c r="F238" s="296"/>
      <c r="G238" s="297"/>
      <c r="H238" s="14"/>
      <c r="I238" s="64"/>
      <c r="J238" s="298"/>
      <c r="K238" s="299"/>
      <c r="L238" s="50">
        <f>L53+L87+L160</f>
        <v>140</v>
      </c>
      <c r="M238" s="50">
        <f>M53+M87+M160</f>
        <v>168</v>
      </c>
      <c r="N238" s="3"/>
      <c r="O238" s="3"/>
    </row>
    <row r="239" spans="1:15" ht="22.8" x14ac:dyDescent="0.25">
      <c r="A239" s="295"/>
      <c r="B239" s="161" t="s">
        <v>592</v>
      </c>
      <c r="C239" s="273"/>
      <c r="D239" s="273"/>
      <c r="E239" s="273"/>
      <c r="F239" s="296"/>
      <c r="G239" s="297"/>
      <c r="H239" s="14"/>
      <c r="I239" s="64"/>
      <c r="J239" s="298"/>
      <c r="K239" s="299"/>
      <c r="L239" s="50">
        <f>SUM(L235:L238)</f>
        <v>5164.2000000000007</v>
      </c>
      <c r="M239" s="50">
        <f>SUM(M235:M238)</f>
        <v>186.2</v>
      </c>
      <c r="N239" s="3"/>
      <c r="O239" s="3"/>
    </row>
    <row r="240" spans="1:15" ht="17.399999999999999" x14ac:dyDescent="0.25">
      <c r="A240" s="65"/>
      <c r="B240" s="273"/>
      <c r="C240" s="273"/>
      <c r="D240" s="273"/>
      <c r="E240" s="273"/>
      <c r="F240" s="14"/>
      <c r="G240" s="300"/>
      <c r="H240" s="14"/>
      <c r="I240" s="301"/>
      <c r="J240" s="302"/>
      <c r="K240" s="289" t="s">
        <v>33</v>
      </c>
      <c r="L240" s="353">
        <f>SUM(L239:M239)</f>
        <v>5350.4000000000005</v>
      </c>
      <c r="M240" s="354"/>
      <c r="N240" s="3"/>
      <c r="O240" s="3"/>
    </row>
    <row r="241" spans="1:15" x14ac:dyDescent="0.25">
      <c r="A241" s="303"/>
      <c r="B241" s="304"/>
      <c r="C241" s="304"/>
      <c r="D241" s="304"/>
      <c r="E241" s="304"/>
      <c r="F241" s="305"/>
      <c r="G241" s="197"/>
      <c r="H241" s="305"/>
      <c r="I241" s="306"/>
      <c r="J241" s="307"/>
      <c r="K241" s="196"/>
      <c r="L241" s="155"/>
      <c r="M241" s="197"/>
      <c r="N241" s="3"/>
      <c r="O241" s="3"/>
    </row>
    <row r="242" spans="1:15" x14ac:dyDescent="0.25">
      <c r="A242" s="303"/>
      <c r="B242" s="304" t="s">
        <v>593</v>
      </c>
      <c r="C242" s="304"/>
      <c r="D242" s="304"/>
      <c r="E242" s="304"/>
      <c r="F242" s="305"/>
      <c r="G242" s="197"/>
      <c r="H242" s="305"/>
      <c r="I242" s="306"/>
      <c r="J242" s="307"/>
      <c r="K242" s="196"/>
      <c r="L242" s="197"/>
      <c r="M242" s="197"/>
      <c r="N242" s="3"/>
      <c r="O242" s="3"/>
    </row>
  </sheetData>
  <mergeCells count="3">
    <mergeCell ref="L240:M240"/>
    <mergeCell ref="A2:M2"/>
    <mergeCell ref="A3:M3"/>
  </mergeCells>
  <pageMargins left="0.25" right="0.25" top="0.75" bottom="0.75" header="0.3" footer="0.3"/>
  <pageSetup paperSize="8" scale="8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Gmina Miasto Stargard cz. I (a)</vt:lpstr>
      <vt:lpstr>Instytucje kultury cz. I (b)</vt:lpstr>
      <vt:lpstr>Oświetlenie cz.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</dc:creator>
  <cp:lastModifiedBy>J Majerski</cp:lastModifiedBy>
  <cp:lastPrinted>2023-08-29T11:54:49Z</cp:lastPrinted>
  <dcterms:created xsi:type="dcterms:W3CDTF">2010-08-11T14:06:59Z</dcterms:created>
  <dcterms:modified xsi:type="dcterms:W3CDTF">2023-09-05T13:33:05Z</dcterms:modified>
</cp:coreProperties>
</file>