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2022 PRZETARGI\24. Dostawa energii elektrycznej\"/>
    </mc:Choice>
  </mc:AlternateContent>
  <xr:revisionPtr revIDLastSave="0" documentId="13_ncr:1_{27F0EA45-3D53-44EA-8DD2-C3EAA38C5E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5" l="1"/>
  <c r="E65" i="5"/>
  <c r="E61" i="5"/>
  <c r="E60" i="5"/>
  <c r="E59" i="5"/>
  <c r="E48" i="5"/>
  <c r="E47" i="5"/>
  <c r="E46" i="5"/>
  <c r="E44" i="5"/>
  <c r="E26" i="5"/>
  <c r="E39" i="5"/>
  <c r="E37" i="5"/>
  <c r="E21" i="5"/>
  <c r="E18" i="5"/>
  <c r="I8" i="5"/>
  <c r="H79" i="5"/>
  <c r="H78" i="5"/>
  <c r="H77" i="5"/>
  <c r="H76" i="5"/>
  <c r="H75" i="5"/>
  <c r="H74" i="5"/>
  <c r="H70" i="5"/>
  <c r="H69" i="5"/>
  <c r="H68" i="5"/>
  <c r="H67" i="5"/>
  <c r="H66" i="5"/>
  <c r="H65" i="5"/>
  <c r="H62" i="5"/>
  <c r="H57" i="5"/>
  <c r="H56" i="5"/>
  <c r="H55" i="5"/>
  <c r="H54" i="5"/>
  <c r="H53" i="5"/>
  <c r="H52" i="5"/>
  <c r="H39" i="5"/>
  <c r="H40" i="5"/>
  <c r="H41" i="5"/>
  <c r="H42" i="5"/>
  <c r="H43" i="5"/>
  <c r="H44" i="5"/>
  <c r="H30" i="5"/>
  <c r="H31" i="5"/>
  <c r="H32" i="5"/>
  <c r="H33" i="5"/>
  <c r="H34" i="5"/>
  <c r="H35" i="5"/>
  <c r="H21" i="5"/>
  <c r="H22" i="5"/>
  <c r="H23" i="5"/>
  <c r="H24" i="5"/>
  <c r="H25" i="5"/>
  <c r="H26" i="5"/>
  <c r="H10" i="5"/>
  <c r="H11" i="5"/>
  <c r="H12" i="5"/>
  <c r="H13" i="5"/>
  <c r="H14" i="5"/>
  <c r="H15" i="5"/>
  <c r="I15" i="5" s="1"/>
  <c r="F9" i="5"/>
  <c r="H9" i="5" s="1"/>
  <c r="F19" i="5"/>
  <c r="H19" i="5" s="1"/>
  <c r="F20" i="5"/>
  <c r="H20" i="5" s="1"/>
  <c r="F29" i="5"/>
  <c r="H29" i="5" s="1"/>
  <c r="F51" i="5"/>
  <c r="H51" i="5" s="1"/>
  <c r="F38" i="5"/>
  <c r="H38" i="5" s="1"/>
  <c r="F50" i="5"/>
  <c r="H50" i="5" s="1"/>
  <c r="F49" i="5"/>
  <c r="H49" i="5" s="1"/>
  <c r="F62" i="5"/>
  <c r="F64" i="5"/>
  <c r="H64" i="5" s="1"/>
  <c r="F63" i="5"/>
  <c r="H63" i="5" s="1"/>
  <c r="F73" i="5"/>
  <c r="H73" i="5" s="1"/>
  <c r="E79" i="5"/>
  <c r="E74" i="5"/>
  <c r="E57" i="5"/>
  <c r="E52" i="5"/>
  <c r="E35" i="5"/>
  <c r="E30" i="5"/>
  <c r="E29" i="5"/>
  <c r="I37" i="5" l="1"/>
  <c r="I46" i="5"/>
  <c r="I47" i="5"/>
  <c r="I48" i="5"/>
  <c r="I59" i="5"/>
  <c r="I60" i="5"/>
  <c r="I61" i="5"/>
  <c r="I28" i="5"/>
  <c r="I17" i="5"/>
  <c r="I18" i="5"/>
  <c r="I74" i="5"/>
  <c r="I35" i="5"/>
  <c r="I79" i="5"/>
  <c r="I70" i="5"/>
  <c r="I57" i="5"/>
  <c r="I26" i="5"/>
  <c r="I44" i="5"/>
  <c r="I10" i="5"/>
  <c r="I65" i="5"/>
  <c r="I52" i="5"/>
  <c r="I39" i="5"/>
  <c r="I30" i="5"/>
  <c r="I21" i="5"/>
  <c r="I73" i="5"/>
  <c r="I51" i="5" l="1"/>
  <c r="I29" i="5"/>
  <c r="E40" i="5" l="1"/>
  <c r="I40" i="5" s="1"/>
  <c r="I72" i="5"/>
  <c r="E75" i="5"/>
  <c r="I75" i="5" s="1"/>
  <c r="E38" i="5"/>
  <c r="I38" i="5" s="1"/>
  <c r="E20" i="5"/>
  <c r="I20" i="5" s="1"/>
  <c r="E19" i="5"/>
  <c r="E11" i="5"/>
  <c r="I11" i="5" s="1"/>
  <c r="E9" i="5"/>
  <c r="E63" i="5"/>
  <c r="E64" i="5"/>
  <c r="I64" i="5" s="1"/>
  <c r="E62" i="5"/>
  <c r="I62" i="5" s="1"/>
  <c r="E50" i="5"/>
  <c r="I50" i="5" s="1"/>
  <c r="E49" i="5"/>
  <c r="E43" i="5"/>
  <c r="I43" i="5" s="1"/>
  <c r="E34" i="5"/>
  <c r="I34" i="5" s="1"/>
  <c r="E77" i="5"/>
  <c r="E76" i="5"/>
  <c r="I76" i="5" s="1"/>
  <c r="E53" i="5"/>
  <c r="I53" i="5" s="1"/>
  <c r="E33" i="5"/>
  <c r="I33" i="5" s="1"/>
  <c r="E32" i="5"/>
  <c r="E31" i="5"/>
  <c r="I31" i="5" s="1"/>
  <c r="I63" i="5" l="1"/>
  <c r="E82" i="5"/>
  <c r="E12" i="5"/>
  <c r="I12" i="5" s="1"/>
  <c r="E41" i="5"/>
  <c r="I41" i="5" s="1"/>
  <c r="E13" i="5"/>
  <c r="I13" i="5" s="1"/>
  <c r="E42" i="5"/>
  <c r="I42" i="5" s="1"/>
  <c r="I32" i="5"/>
  <c r="E23" i="5"/>
  <c r="I23" i="5" s="1"/>
  <c r="E78" i="5"/>
  <c r="I78" i="5" s="1"/>
  <c r="I77" i="5"/>
  <c r="E69" i="5"/>
  <c r="I69" i="5" s="1"/>
  <c r="E54" i="5"/>
  <c r="I49" i="5"/>
  <c r="E25" i="5"/>
  <c r="I25" i="5" s="1"/>
  <c r="I19" i="5"/>
  <c r="E14" i="5"/>
  <c r="I14" i="5" s="1"/>
  <c r="E66" i="5"/>
  <c r="I66" i="5" s="1"/>
  <c r="E22" i="5"/>
  <c r="I22" i="5" s="1"/>
  <c r="E67" i="5"/>
  <c r="E24" i="5"/>
  <c r="I24" i="5" s="1"/>
  <c r="E56" i="5"/>
  <c r="I56" i="5" s="1"/>
  <c r="E68" i="5" l="1"/>
  <c r="I68" i="5" s="1"/>
  <c r="I67" i="5"/>
  <c r="E55" i="5"/>
  <c r="I55" i="5" s="1"/>
  <c r="I54" i="5"/>
  <c r="I9" i="5" l="1"/>
</calcChain>
</file>

<file path=xl/sharedStrings.xml><?xml version="1.0" encoding="utf-8"?>
<sst xmlns="http://schemas.openxmlformats.org/spreadsheetml/2006/main" count="123" uniqueCount="52">
  <si>
    <t>DYSTRYBUCJA</t>
  </si>
  <si>
    <t>Opis - składniki opłat</t>
  </si>
  <si>
    <t>pieczątka wykonawcy</t>
  </si>
  <si>
    <t>Miejsce poboru energii</t>
  </si>
  <si>
    <t>opłata abonamentowa [zł/m-c]</t>
  </si>
  <si>
    <t>szczytowa</t>
  </si>
  <si>
    <t>pozaszczytowa</t>
  </si>
  <si>
    <t>całodobowa</t>
  </si>
  <si>
    <t>Strefy doby</t>
  </si>
  <si>
    <t>szczyt przedpołudniowy</t>
  </si>
  <si>
    <t>szczyt popołudniowy</t>
  </si>
  <si>
    <t>całodobowy</t>
  </si>
  <si>
    <t>szczytowy</t>
  </si>
  <si>
    <t>pozaszczytowy</t>
  </si>
  <si>
    <t>składnik zmienny stawki sieciowej                                                  + stawka jakościowa [zł/kWh]</t>
  </si>
  <si>
    <t>składnik zmienny stawki sieciowej                                         + stawka jakościowa [zł/kWh]</t>
  </si>
  <si>
    <t>składnik zmienny stawki sieciowej                                 + stawka jakościowa [zł/kWh]</t>
  </si>
  <si>
    <t>składnik zmienny stawki sieciowej                                   + stawka jakościowa [zł/kWh]</t>
  </si>
  <si>
    <t>składnik zmienny stawki sieciowej                                  + stawka jakościowa [zł/kWh]</t>
  </si>
  <si>
    <t>składnik zmienny stawki sieciowej                                    + stawka jakościowa [zł/kWh]</t>
  </si>
  <si>
    <t>składnik zmienny stawki sieciowej                                     + stawka jakościowa [zł/kWh]</t>
  </si>
  <si>
    <t>cena energii elektrycznej
 (z opłatami handlowymi) [zł/kWh]</t>
  </si>
  <si>
    <t>cena energii elektrycznej
 (z opłatami handlowymi) [zł/MWh]</t>
  </si>
  <si>
    <t>Grupa Taryfowa C11</t>
  </si>
  <si>
    <t>Grupa Taryfowa C12a</t>
  </si>
  <si>
    <t>Grupa Taryfowa C21</t>
  </si>
  <si>
    <t xml:space="preserve">Grupa Taryfowa R  </t>
  </si>
  <si>
    <t>składnik stały stawki sieciowej [zł/kWm-c]</t>
  </si>
  <si>
    <t>opłata przejściowa [zł/kWm-c]</t>
  </si>
  <si>
    <t>pozostałe            godziny doby</t>
  </si>
  <si>
    <r>
      <t>składnik zmienny stawki sieciowej                                    + stawka jakościowa [zł/</t>
    </r>
    <r>
      <rPr>
        <sz val="10"/>
        <rFont val="Arial CE"/>
        <charset val="238"/>
      </rPr>
      <t>MWh]</t>
    </r>
  </si>
  <si>
    <r>
      <t>składnik zmienny stawki sieciowej                   + stawka jakościowa [zł/</t>
    </r>
    <r>
      <rPr>
        <sz val="10"/>
        <rFont val="Arial CE"/>
        <charset val="238"/>
      </rPr>
      <t>MWh]</t>
    </r>
  </si>
  <si>
    <t xml:space="preserve">Grupa Taryfowa G11  </t>
  </si>
  <si>
    <t>Ilość w okresie zamówienia</t>
  </si>
  <si>
    <r>
      <t>składnik stały stawki sieciowej [zł/</t>
    </r>
    <r>
      <rPr>
        <sz val="10"/>
        <rFont val="Arial CE"/>
        <charset val="238"/>
      </rPr>
      <t>m-c]</t>
    </r>
  </si>
  <si>
    <r>
      <t>opłata przejściowa [zł/</t>
    </r>
    <r>
      <rPr>
        <sz val="10"/>
        <rFont val="Arial CE"/>
        <charset val="238"/>
      </rPr>
      <t>m-c]</t>
    </r>
  </si>
  <si>
    <t>Wartość brutto
[zł]</t>
  </si>
  <si>
    <t>Cena jednostkowa brutto 
[zł]</t>
  </si>
  <si>
    <t>Grupa Taryfowa C23</t>
  </si>
  <si>
    <t>szczytowa I</t>
  </si>
  <si>
    <t>szczytowa II</t>
  </si>
  <si>
    <t>Grupa Taryfowa B23 - w obliczaniu składnika zmiennego stawki sieciowej należy zastosować średnią arytmetyczną cenę z taryfy operatora dla zimy i lata</t>
  </si>
  <si>
    <t>Opłata OZE [zł/kWh]</t>
  </si>
  <si>
    <t>Opłata kogeneracyjna [zł/kWh]</t>
  </si>
  <si>
    <t>Opłata mocowa [zł/kWh]</t>
  </si>
  <si>
    <t>pozostałe godziny doby</t>
  </si>
  <si>
    <t xml:space="preserve">Ogółem sprzedaż i dystrybucja budynki </t>
  </si>
  <si>
    <t>Sprzedaż na lata 01.01.2023 - 31.12.2024</t>
  </si>
  <si>
    <t xml:space="preserve">FORMULARZ CENOWY 
(na dostawę i przesył energii elektrycznej, dla urządzeń oświetlenia placów i ulic w okresie zamówienia.) </t>
  </si>
  <si>
    <t>Cena jednostkowa netto
[zł]</t>
  </si>
  <si>
    <t>Wartośc VAT [%]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</si>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</sst>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"/>
    <numFmt numFmtId="166" formatCode="#,##0.0000"/>
    <numFmt numFmtId="167" formatCode="#,##0.000000"/>
    <numFmt numFmtId="168" formatCode="#,##0.0000000"/>
    <numFmt numFmtId="169" formatCode="0.00000"/>
    <numFmt numFmtId="170" formatCode="#,##0.00000"/>
    <numFmt numFmtId="171" formatCode="_-* #,##0.00\ [$zł-415]_-;\-* #,##0.00\ [$zł-415]_-;_-* &quot;-&quot;??\ [$zł-415]_-;_-@_-"/>
    <numFmt numFmtId="172" formatCode="0.000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 CE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/>
    <xf numFmtId="0" fontId="11" fillId="0" borderId="14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/>
    <xf numFmtId="0" fontId="9" fillId="2" borderId="19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4" fontId="0" fillId="0" borderId="0" xfId="0" applyNumberFormat="1"/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65" fontId="0" fillId="0" borderId="22" xfId="0" applyNumberForma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" fontId="0" fillId="0" borderId="3" xfId="1" applyNumberFormat="1" applyFont="1" applyBorder="1" applyAlignment="1">
      <alignment horizontal="center" vertical="center"/>
    </xf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 wrapText="1"/>
    </xf>
    <xf numFmtId="167" fontId="9" fillId="0" borderId="12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71" fontId="15" fillId="0" borderId="3" xfId="1" applyNumberFormat="1" applyFont="1" applyBorder="1"/>
    <xf numFmtId="0" fontId="8" fillId="0" borderId="4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170" fontId="0" fillId="0" borderId="21" xfId="0" applyNumberFormat="1" applyFill="1" applyBorder="1" applyAlignment="1">
      <alignment horizontal="center" vertical="center"/>
    </xf>
    <xf numFmtId="167" fontId="0" fillId="2" borderId="12" xfId="0" applyNumberFormat="1" applyFill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0" borderId="21" xfId="0" applyNumberFormat="1" applyFill="1" applyBorder="1" applyAlignment="1">
      <alignment horizontal="center" vertical="center"/>
    </xf>
    <xf numFmtId="167" fontId="0" fillId="2" borderId="21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172" fontId="0" fillId="2" borderId="2" xfId="0" applyNumberForma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72" fontId="0" fillId="0" borderId="21" xfId="0" applyNumberFormat="1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70" fontId="0" fillId="0" borderId="14" xfId="0" applyNumberFormat="1" applyFill="1" applyBorder="1" applyAlignment="1">
      <alignment horizontal="center" vertical="center"/>
    </xf>
    <xf numFmtId="170" fontId="0" fillId="0" borderId="5" xfId="0" applyNumberFormat="1" applyFill="1" applyBorder="1" applyAlignment="1">
      <alignment horizontal="center" vertical="center"/>
    </xf>
    <xf numFmtId="170" fontId="0" fillId="0" borderId="17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5" xfId="0" applyNumberFormat="1" applyFill="1" applyBorder="1" applyAlignment="1">
      <alignment horizontal="center" vertical="center"/>
    </xf>
    <xf numFmtId="169" fontId="0" fillId="0" borderId="21" xfId="0" applyNumberFormat="1" applyFill="1" applyBorder="1" applyAlignment="1">
      <alignment horizontal="center" vertical="center"/>
    </xf>
    <xf numFmtId="169" fontId="0" fillId="0" borderId="1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65" fontId="0" fillId="0" borderId="4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164" fontId="16" fillId="3" borderId="0" xfId="1" applyFont="1" applyFill="1"/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/>
    <xf numFmtId="0" fontId="9" fillId="2" borderId="16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16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16" xfId="0" applyFont="1" applyBorder="1"/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30FF-8F4E-4E12-9112-B3BB70C481D3}">
  <sheetPr>
    <pageSetUpPr fitToPage="1"/>
  </sheetPr>
  <dimension ref="A1:T368"/>
  <sheetViews>
    <sheetView tabSelected="1" topLeftCell="B1" workbookViewId="0">
      <selection activeCell="B1" sqref="B1:C2"/>
    </sheetView>
  </sheetViews>
  <sheetFormatPr defaultRowHeight="12.75" x14ac:dyDescent="0.2"/>
  <cols>
    <col min="2" max="2" width="17.28515625" customWidth="1"/>
    <col min="3" max="3" width="18" customWidth="1"/>
    <col min="4" max="4" width="15.5703125" customWidth="1"/>
    <col min="5" max="5" width="17.42578125" customWidth="1"/>
    <col min="6" max="6" width="12.42578125" customWidth="1"/>
    <col min="7" max="7" width="10.5703125" customWidth="1"/>
    <col min="8" max="8" width="14.140625" customWidth="1"/>
    <col min="9" max="9" width="18.140625" bestFit="1" customWidth="1"/>
    <col min="10" max="10" width="11.7109375" bestFit="1" customWidth="1"/>
    <col min="14" max="14" width="15" bestFit="1" customWidth="1"/>
    <col min="16" max="16" width="31.140625" customWidth="1"/>
    <col min="17" max="17" width="16.140625" customWidth="1"/>
  </cols>
  <sheetData>
    <row r="1" spans="1:10" x14ac:dyDescent="0.2">
      <c r="B1" s="187"/>
      <c r="C1" s="188"/>
      <c r="I1" s="4" t="s">
        <v>51</v>
      </c>
    </row>
    <row r="2" spans="1:10" x14ac:dyDescent="0.2">
      <c r="B2" s="187"/>
      <c r="C2" s="188"/>
      <c r="I2" s="4"/>
    </row>
    <row r="3" spans="1:10" x14ac:dyDescent="0.2">
      <c r="B3" t="s">
        <v>2</v>
      </c>
    </row>
    <row r="4" spans="1:10" ht="51" customHeight="1" thickBot="1" x14ac:dyDescent="0.25">
      <c r="B4" s="184" t="s">
        <v>48</v>
      </c>
      <c r="C4" s="184"/>
      <c r="D4" s="184"/>
      <c r="E4" s="184"/>
      <c r="F4" s="184"/>
      <c r="G4" s="184"/>
      <c r="H4" s="184"/>
      <c r="I4" s="184"/>
    </row>
    <row r="5" spans="1:10" ht="51.75" thickBot="1" x14ac:dyDescent="0.25">
      <c r="A5" s="6" t="s">
        <v>3</v>
      </c>
      <c r="B5" s="5"/>
      <c r="C5" s="2" t="s">
        <v>1</v>
      </c>
      <c r="D5" s="1" t="s">
        <v>8</v>
      </c>
      <c r="E5" s="3" t="s">
        <v>33</v>
      </c>
      <c r="F5" s="3" t="s">
        <v>49</v>
      </c>
      <c r="G5" s="3" t="s">
        <v>50</v>
      </c>
      <c r="H5" s="3" t="s">
        <v>37</v>
      </c>
      <c r="I5" s="3" t="s">
        <v>36</v>
      </c>
    </row>
    <row r="6" spans="1:10" ht="13.5" thickBot="1" x14ac:dyDescent="0.25">
      <c r="A6" s="7">
        <v>1</v>
      </c>
      <c r="B6" s="58">
        <v>2</v>
      </c>
      <c r="C6" s="58">
        <v>3</v>
      </c>
      <c r="D6" s="58">
        <v>4</v>
      </c>
      <c r="E6" s="59">
        <v>5</v>
      </c>
      <c r="F6" s="7">
        <v>6</v>
      </c>
      <c r="G6" s="58">
        <v>7</v>
      </c>
      <c r="H6" s="58">
        <v>8</v>
      </c>
      <c r="I6" s="58">
        <v>9</v>
      </c>
    </row>
    <row r="7" spans="1:10" ht="16.5" thickBot="1" x14ac:dyDescent="0.25">
      <c r="A7" s="185" t="s">
        <v>23</v>
      </c>
      <c r="B7" s="186"/>
      <c r="C7" s="186"/>
      <c r="D7" s="186"/>
      <c r="E7" s="186"/>
      <c r="F7" s="186"/>
      <c r="G7" s="186"/>
      <c r="H7" s="186"/>
      <c r="I7" s="186"/>
    </row>
    <row r="8" spans="1:10" ht="64.5" thickBot="1" x14ac:dyDescent="0.25">
      <c r="A8" s="176"/>
      <c r="B8" s="63" t="s">
        <v>47</v>
      </c>
      <c r="C8" s="14" t="s">
        <v>21</v>
      </c>
      <c r="D8" s="15" t="s">
        <v>7</v>
      </c>
      <c r="E8" s="9">
        <v>1000</v>
      </c>
      <c r="F8" s="83"/>
      <c r="G8" s="83">
        <v>5</v>
      </c>
      <c r="H8" s="79"/>
      <c r="I8" s="16">
        <f>ROUND(E8*H8,2)</f>
        <v>0</v>
      </c>
    </row>
    <row r="9" spans="1:10" ht="51.75" thickBot="1" x14ac:dyDescent="0.25">
      <c r="A9" s="177"/>
      <c r="B9" s="165" t="s">
        <v>0</v>
      </c>
      <c r="C9" s="14" t="s">
        <v>14</v>
      </c>
      <c r="D9" s="15" t="s">
        <v>11</v>
      </c>
      <c r="E9" s="9">
        <f>E8</f>
        <v>1000</v>
      </c>
      <c r="F9" s="139">
        <f>0.0095+0.269</f>
        <v>0.27850000000000003</v>
      </c>
      <c r="G9" s="140">
        <v>5</v>
      </c>
      <c r="H9" s="141">
        <f>F9*(G9+100)/100</f>
        <v>0.29242500000000005</v>
      </c>
      <c r="I9" s="16">
        <f>ROUND(E9*H9,2)</f>
        <v>292.43</v>
      </c>
    </row>
    <row r="10" spans="1:10" ht="13.5" thickBot="1" x14ac:dyDescent="0.25">
      <c r="A10" s="177"/>
      <c r="B10" s="180"/>
      <c r="C10" s="17" t="s">
        <v>27</v>
      </c>
      <c r="D10" s="18"/>
      <c r="E10" s="39">
        <v>120</v>
      </c>
      <c r="F10" s="136">
        <v>5.1100000000000003</v>
      </c>
      <c r="G10" s="137">
        <v>5</v>
      </c>
      <c r="H10" s="138">
        <f t="shared" ref="H10:H15" si="0">F10*(G10+100)/100</f>
        <v>5.3655000000000008</v>
      </c>
      <c r="I10" s="16">
        <f t="shared" ref="I10:I13" si="1">ROUND(E10*H10,2)</f>
        <v>643.86</v>
      </c>
    </row>
    <row r="11" spans="1:10" ht="13.5" thickBot="1" x14ac:dyDescent="0.25">
      <c r="A11" s="177"/>
      <c r="B11" s="180"/>
      <c r="C11" s="17" t="s">
        <v>28</v>
      </c>
      <c r="D11" s="18"/>
      <c r="E11" s="39">
        <f>E10</f>
        <v>120</v>
      </c>
      <c r="F11" s="125">
        <v>0.08</v>
      </c>
      <c r="G11" s="85">
        <v>5</v>
      </c>
      <c r="H11" s="80">
        <f t="shared" si="0"/>
        <v>8.4000000000000005E-2</v>
      </c>
      <c r="I11" s="16">
        <f t="shared" si="1"/>
        <v>10.08</v>
      </c>
    </row>
    <row r="12" spans="1:10" ht="13.5" thickBot="1" x14ac:dyDescent="0.25">
      <c r="A12" s="177"/>
      <c r="B12" s="180"/>
      <c r="C12" s="61" t="s">
        <v>42</v>
      </c>
      <c r="D12" s="60"/>
      <c r="E12" s="62">
        <f>E9</f>
        <v>1000</v>
      </c>
      <c r="F12" s="126">
        <v>8.9999999999999998E-4</v>
      </c>
      <c r="G12" s="86">
        <v>5</v>
      </c>
      <c r="H12" s="80">
        <f t="shared" si="0"/>
        <v>9.4499999999999998E-4</v>
      </c>
      <c r="I12" s="16">
        <f t="shared" si="1"/>
        <v>0.95</v>
      </c>
    </row>
    <row r="13" spans="1:10" ht="13.5" thickBot="1" x14ac:dyDescent="0.25">
      <c r="A13" s="177"/>
      <c r="B13" s="180"/>
      <c r="C13" s="61" t="s">
        <v>43</v>
      </c>
      <c r="D13" s="60"/>
      <c r="E13" s="62">
        <f>E9</f>
        <v>1000</v>
      </c>
      <c r="F13" s="126">
        <v>4.0600000000000002E-3</v>
      </c>
      <c r="G13" s="86">
        <v>5</v>
      </c>
      <c r="H13" s="80">
        <f t="shared" si="0"/>
        <v>4.2630000000000003E-3</v>
      </c>
      <c r="I13" s="16">
        <f t="shared" si="1"/>
        <v>4.26</v>
      </c>
    </row>
    <row r="14" spans="1:10" ht="13.5" thickBot="1" x14ac:dyDescent="0.25">
      <c r="A14" s="177"/>
      <c r="B14" s="180"/>
      <c r="C14" s="61" t="s">
        <v>44</v>
      </c>
      <c r="D14" s="60"/>
      <c r="E14" s="62">
        <f>E12/15*9</f>
        <v>600</v>
      </c>
      <c r="F14" s="126">
        <v>0.1026</v>
      </c>
      <c r="G14" s="86">
        <v>5</v>
      </c>
      <c r="H14" s="80">
        <f t="shared" si="0"/>
        <v>0.10772999999999999</v>
      </c>
      <c r="I14" s="16">
        <f>ROUND(E14*H14,2)</f>
        <v>64.64</v>
      </c>
    </row>
    <row r="15" spans="1:10" ht="13.5" thickBot="1" x14ac:dyDescent="0.25">
      <c r="A15" s="178"/>
      <c r="B15" s="181"/>
      <c r="C15" s="19" t="s">
        <v>4</v>
      </c>
      <c r="D15" s="20"/>
      <c r="E15" s="40">
        <v>24</v>
      </c>
      <c r="F15" s="127">
        <v>3.99</v>
      </c>
      <c r="G15" s="87">
        <v>5</v>
      </c>
      <c r="H15" s="80">
        <f t="shared" si="0"/>
        <v>4.1895000000000007</v>
      </c>
      <c r="I15" s="16">
        <f>ROUND(E15*H15,2)</f>
        <v>100.55</v>
      </c>
      <c r="J15" s="52"/>
    </row>
    <row r="16" spans="1:10" ht="16.5" thickBot="1" x14ac:dyDescent="0.25">
      <c r="A16" s="174" t="s">
        <v>24</v>
      </c>
      <c r="B16" s="175"/>
      <c r="C16" s="175"/>
      <c r="D16" s="175"/>
      <c r="E16" s="175"/>
      <c r="F16" s="175"/>
      <c r="G16" s="175"/>
      <c r="H16" s="175"/>
      <c r="I16" s="175"/>
    </row>
    <row r="17" spans="1:10" ht="64.5" thickBot="1" x14ac:dyDescent="0.25">
      <c r="A17" s="176"/>
      <c r="B17" s="165" t="s">
        <v>47</v>
      </c>
      <c r="C17" s="14" t="s">
        <v>21</v>
      </c>
      <c r="D17" s="21" t="s">
        <v>5</v>
      </c>
      <c r="E17" s="56">
        <v>695860</v>
      </c>
      <c r="F17" s="133"/>
      <c r="G17" s="134">
        <v>5</v>
      </c>
      <c r="H17" s="135"/>
      <c r="I17" s="16">
        <f t="shared" ref="I17:I18" si="2">ROUND(E17*H17,2)</f>
        <v>0</v>
      </c>
    </row>
    <row r="18" spans="1:10" ht="64.5" thickBot="1" x14ac:dyDescent="0.25">
      <c r="A18" s="177"/>
      <c r="B18" s="179"/>
      <c r="C18" s="14" t="s">
        <v>21</v>
      </c>
      <c r="D18" s="8" t="s">
        <v>6</v>
      </c>
      <c r="E18" s="57">
        <f>368745*2</f>
        <v>737490</v>
      </c>
      <c r="F18" s="88"/>
      <c r="G18" s="88">
        <v>5</v>
      </c>
      <c r="H18" s="132"/>
      <c r="I18" s="16">
        <f t="shared" si="2"/>
        <v>0</v>
      </c>
    </row>
    <row r="19" spans="1:10" ht="51.75" thickBot="1" x14ac:dyDescent="0.25">
      <c r="A19" s="177"/>
      <c r="B19" s="165" t="s">
        <v>0</v>
      </c>
      <c r="C19" s="22" t="s">
        <v>15</v>
      </c>
      <c r="D19" s="15" t="s">
        <v>12</v>
      </c>
      <c r="E19" s="64">
        <f>E17</f>
        <v>695860</v>
      </c>
      <c r="F19" s="115">
        <f>0.0095+0.3364</f>
        <v>0.34589999999999999</v>
      </c>
      <c r="G19" s="89">
        <v>5</v>
      </c>
      <c r="H19" s="80">
        <f t="shared" ref="H19:H26" si="3">F19*(G19+100)/100</f>
        <v>0.36319499999999999</v>
      </c>
      <c r="I19" s="16">
        <f>ROUND(E19*H19,2)</f>
        <v>252732.87</v>
      </c>
    </row>
    <row r="20" spans="1:10" ht="51.75" thickBot="1" x14ac:dyDescent="0.25">
      <c r="A20" s="177"/>
      <c r="B20" s="166"/>
      <c r="C20" s="23" t="s">
        <v>16</v>
      </c>
      <c r="D20" s="8" t="s">
        <v>13</v>
      </c>
      <c r="E20" s="64">
        <f>E18</f>
        <v>737490</v>
      </c>
      <c r="F20" s="115">
        <f>0.0095+0.0981</f>
        <v>0.1076</v>
      </c>
      <c r="G20" s="89">
        <v>5</v>
      </c>
      <c r="H20" s="80">
        <f t="shared" si="3"/>
        <v>0.11298</v>
      </c>
      <c r="I20" s="16">
        <f t="shared" ref="I20:I26" si="4">ROUND(E20*H20,2)</f>
        <v>83321.62</v>
      </c>
    </row>
    <row r="21" spans="1:10" ht="13.5" thickBot="1" x14ac:dyDescent="0.25">
      <c r="A21" s="177"/>
      <c r="B21" s="180"/>
      <c r="C21" s="17" t="s">
        <v>27</v>
      </c>
      <c r="D21" s="18"/>
      <c r="E21" s="39">
        <f>1047* 12*2</f>
        <v>25128</v>
      </c>
      <c r="F21" s="116">
        <v>5.1100000000000003</v>
      </c>
      <c r="G21" s="84">
        <v>5</v>
      </c>
      <c r="H21" s="80">
        <f t="shared" si="3"/>
        <v>5.3655000000000008</v>
      </c>
      <c r="I21" s="16">
        <f t="shared" si="4"/>
        <v>134824.28</v>
      </c>
    </row>
    <row r="22" spans="1:10" ht="13.5" thickBot="1" x14ac:dyDescent="0.25">
      <c r="A22" s="177"/>
      <c r="B22" s="180"/>
      <c r="C22" s="17" t="s">
        <v>28</v>
      </c>
      <c r="D22" s="18"/>
      <c r="E22" s="39">
        <f>E21</f>
        <v>25128</v>
      </c>
      <c r="F22" s="117">
        <v>0.08</v>
      </c>
      <c r="G22" s="85">
        <v>5</v>
      </c>
      <c r="H22" s="80">
        <f t="shared" si="3"/>
        <v>8.4000000000000005E-2</v>
      </c>
      <c r="I22" s="16">
        <f t="shared" si="4"/>
        <v>2110.75</v>
      </c>
    </row>
    <row r="23" spans="1:10" ht="13.5" thickBot="1" x14ac:dyDescent="0.25">
      <c r="A23" s="177"/>
      <c r="B23" s="180"/>
      <c r="C23" s="61" t="s">
        <v>42</v>
      </c>
      <c r="D23" s="60"/>
      <c r="E23" s="62">
        <f>E20+E19</f>
        <v>1433350</v>
      </c>
      <c r="F23" s="102">
        <v>8.9999999999999998E-4</v>
      </c>
      <c r="G23" s="86">
        <v>5</v>
      </c>
      <c r="H23" s="80">
        <f t="shared" si="3"/>
        <v>9.4499999999999998E-4</v>
      </c>
      <c r="I23" s="16">
        <f t="shared" si="4"/>
        <v>1354.52</v>
      </c>
    </row>
    <row r="24" spans="1:10" ht="13.5" thickBot="1" x14ac:dyDescent="0.25">
      <c r="A24" s="177"/>
      <c r="B24" s="180"/>
      <c r="C24" s="61" t="s">
        <v>43</v>
      </c>
      <c r="D24" s="60"/>
      <c r="E24" s="62">
        <f>E20+E19</f>
        <v>1433350</v>
      </c>
      <c r="F24" s="102">
        <v>4.0600000000000002E-3</v>
      </c>
      <c r="G24" s="86">
        <v>5</v>
      </c>
      <c r="H24" s="80">
        <f t="shared" si="3"/>
        <v>4.2630000000000003E-3</v>
      </c>
      <c r="I24" s="16">
        <f t="shared" si="4"/>
        <v>6110.37</v>
      </c>
    </row>
    <row r="25" spans="1:10" ht="13.5" thickBot="1" x14ac:dyDescent="0.25">
      <c r="A25" s="177"/>
      <c r="B25" s="180"/>
      <c r="C25" s="61" t="s">
        <v>44</v>
      </c>
      <c r="D25" s="60"/>
      <c r="E25" s="62">
        <f>E19</f>
        <v>695860</v>
      </c>
      <c r="F25" s="102">
        <v>0.1026</v>
      </c>
      <c r="G25" s="86">
        <v>5</v>
      </c>
      <c r="H25" s="80">
        <f t="shared" si="3"/>
        <v>0.10772999999999999</v>
      </c>
      <c r="I25" s="16">
        <f t="shared" si="4"/>
        <v>74965</v>
      </c>
    </row>
    <row r="26" spans="1:10" ht="13.5" thickBot="1" x14ac:dyDescent="0.25">
      <c r="A26" s="178"/>
      <c r="B26" s="181"/>
      <c r="C26" s="19" t="s">
        <v>4</v>
      </c>
      <c r="D26" s="20"/>
      <c r="E26" s="41">
        <f>105* 12*2</f>
        <v>2520</v>
      </c>
      <c r="F26" s="118">
        <v>3.99</v>
      </c>
      <c r="G26" s="90">
        <v>5</v>
      </c>
      <c r="H26" s="80">
        <f t="shared" si="3"/>
        <v>4.1895000000000007</v>
      </c>
      <c r="I26" s="16">
        <f t="shared" si="4"/>
        <v>10557.54</v>
      </c>
      <c r="J26" s="52"/>
    </row>
    <row r="27" spans="1:10" ht="16.5" thickBot="1" x14ac:dyDescent="0.25">
      <c r="A27" s="182" t="s">
        <v>26</v>
      </c>
      <c r="B27" s="183"/>
      <c r="C27" s="183"/>
      <c r="D27" s="183"/>
      <c r="E27" s="183"/>
      <c r="F27" s="183"/>
      <c r="G27" s="183"/>
      <c r="H27" s="183"/>
      <c r="I27" s="183"/>
    </row>
    <row r="28" spans="1:10" ht="64.5" thickBot="1" x14ac:dyDescent="0.25">
      <c r="A28" s="147"/>
      <c r="B28" s="82" t="s">
        <v>47</v>
      </c>
      <c r="C28" s="14" t="s">
        <v>21</v>
      </c>
      <c r="D28" s="15" t="s">
        <v>7</v>
      </c>
      <c r="E28" s="42">
        <v>498</v>
      </c>
      <c r="F28" s="91"/>
      <c r="G28" s="91">
        <v>5</v>
      </c>
      <c r="H28" s="50"/>
      <c r="I28" s="16">
        <f t="shared" ref="I28:I35" si="5">ROUND(E28*H28,2)</f>
        <v>0</v>
      </c>
    </row>
    <row r="29" spans="1:10" ht="51.75" thickBot="1" x14ac:dyDescent="0.25">
      <c r="A29" s="147"/>
      <c r="B29" s="165" t="s">
        <v>0</v>
      </c>
      <c r="C29" s="14" t="s">
        <v>19</v>
      </c>
      <c r="D29" s="15" t="s">
        <v>11</v>
      </c>
      <c r="E29" s="42">
        <f>249*2</f>
        <v>498</v>
      </c>
      <c r="F29" s="123">
        <f>0.0095+0.2886</f>
        <v>0.29810000000000003</v>
      </c>
      <c r="G29" s="91">
        <v>5</v>
      </c>
      <c r="H29" s="80">
        <f t="shared" ref="H29:H35" si="6">F29*(G29+100)/100</f>
        <v>0.31300500000000003</v>
      </c>
      <c r="I29" s="16">
        <f t="shared" si="5"/>
        <v>155.88</v>
      </c>
    </row>
    <row r="30" spans="1:10" ht="13.5" thickBot="1" x14ac:dyDescent="0.25">
      <c r="A30" s="147"/>
      <c r="B30" s="167"/>
      <c r="C30" s="25" t="s">
        <v>27</v>
      </c>
      <c r="D30" s="26"/>
      <c r="E30" s="39">
        <f>0.5*2*12</f>
        <v>12</v>
      </c>
      <c r="F30" s="124">
        <v>6.02</v>
      </c>
      <c r="G30" s="84">
        <v>5</v>
      </c>
      <c r="H30" s="80">
        <f t="shared" si="6"/>
        <v>6.3209999999999988</v>
      </c>
      <c r="I30" s="16">
        <f>ROUND(E30*H30,2)</f>
        <v>75.849999999999994</v>
      </c>
    </row>
    <row r="31" spans="1:10" ht="13.5" thickBot="1" x14ac:dyDescent="0.25">
      <c r="A31" s="147"/>
      <c r="B31" s="167"/>
      <c r="C31" s="25" t="s">
        <v>28</v>
      </c>
      <c r="D31" s="26"/>
      <c r="E31" s="39">
        <f>E30</f>
        <v>12</v>
      </c>
      <c r="F31" s="125">
        <v>0.08</v>
      </c>
      <c r="G31" s="85">
        <v>5</v>
      </c>
      <c r="H31" s="80">
        <f t="shared" si="6"/>
        <v>8.4000000000000005E-2</v>
      </c>
      <c r="I31" s="16">
        <f t="shared" si="5"/>
        <v>1.01</v>
      </c>
    </row>
    <row r="32" spans="1:10" ht="13.5" thickBot="1" x14ac:dyDescent="0.25">
      <c r="A32" s="147"/>
      <c r="B32" s="167"/>
      <c r="C32" s="61" t="s">
        <v>42</v>
      </c>
      <c r="D32" s="60"/>
      <c r="E32" s="62">
        <f>E29</f>
        <v>498</v>
      </c>
      <c r="F32" s="126">
        <v>8.9999999999999998E-4</v>
      </c>
      <c r="G32" s="86">
        <v>5</v>
      </c>
      <c r="H32" s="80">
        <f t="shared" si="6"/>
        <v>9.4499999999999998E-4</v>
      </c>
      <c r="I32" s="16">
        <f t="shared" si="5"/>
        <v>0.47</v>
      </c>
    </row>
    <row r="33" spans="1:16" ht="13.5" thickBot="1" x14ac:dyDescent="0.25">
      <c r="A33" s="147"/>
      <c r="B33" s="167"/>
      <c r="C33" s="61" t="s">
        <v>43</v>
      </c>
      <c r="D33" s="60"/>
      <c r="E33" s="62">
        <f>E29</f>
        <v>498</v>
      </c>
      <c r="F33" s="126">
        <v>4.0600000000000002E-3</v>
      </c>
      <c r="G33" s="86">
        <v>5</v>
      </c>
      <c r="H33" s="80">
        <f t="shared" si="6"/>
        <v>4.2630000000000003E-3</v>
      </c>
      <c r="I33" s="16">
        <f t="shared" si="5"/>
        <v>2.12</v>
      </c>
    </row>
    <row r="34" spans="1:16" ht="13.5" thickBot="1" x14ac:dyDescent="0.25">
      <c r="A34" s="147"/>
      <c r="B34" s="167"/>
      <c r="C34" s="61" t="s">
        <v>44</v>
      </c>
      <c r="D34" s="60"/>
      <c r="E34" s="62">
        <f>E28*9/15</f>
        <v>298.8</v>
      </c>
      <c r="F34" s="126">
        <v>0.1026</v>
      </c>
      <c r="G34" s="86">
        <v>5</v>
      </c>
      <c r="H34" s="80">
        <f t="shared" si="6"/>
        <v>0.10772999999999999</v>
      </c>
      <c r="I34" s="16">
        <f t="shared" si="5"/>
        <v>32.19</v>
      </c>
    </row>
    <row r="35" spans="1:16" ht="13.5" thickBot="1" x14ac:dyDescent="0.25">
      <c r="A35" s="148"/>
      <c r="B35" s="168"/>
      <c r="C35" s="27" t="s">
        <v>4</v>
      </c>
      <c r="D35" s="28"/>
      <c r="E35" s="40">
        <f>12*2</f>
        <v>24</v>
      </c>
      <c r="F35" s="127">
        <v>0</v>
      </c>
      <c r="G35" s="87">
        <v>5</v>
      </c>
      <c r="H35" s="80">
        <f t="shared" si="6"/>
        <v>0</v>
      </c>
      <c r="I35" s="16">
        <f t="shared" si="5"/>
        <v>0</v>
      </c>
      <c r="J35" s="52"/>
    </row>
    <row r="36" spans="1:16" ht="16.5" thickBot="1" x14ac:dyDescent="0.25">
      <c r="A36" s="153" t="s">
        <v>25</v>
      </c>
      <c r="B36" s="154"/>
      <c r="C36" s="154"/>
      <c r="D36" s="154"/>
      <c r="E36" s="154"/>
      <c r="F36" s="154"/>
      <c r="G36" s="154"/>
      <c r="H36" s="154"/>
      <c r="I36" s="154"/>
    </row>
    <row r="37" spans="1:16" ht="64.5" thickBot="1" x14ac:dyDescent="0.25">
      <c r="A37" s="171"/>
      <c r="B37" s="82" t="s">
        <v>47</v>
      </c>
      <c r="C37" s="14" t="s">
        <v>21</v>
      </c>
      <c r="D37" s="15" t="s">
        <v>7</v>
      </c>
      <c r="E37" s="10">
        <f>122364*2</f>
        <v>244728</v>
      </c>
      <c r="F37" s="92"/>
      <c r="G37" s="92">
        <v>5</v>
      </c>
      <c r="H37" s="50"/>
      <c r="I37" s="16">
        <f t="shared" ref="I37:I44" si="7">ROUND(E37*H37,2)</f>
        <v>0</v>
      </c>
      <c r="P37" s="65"/>
    </row>
    <row r="38" spans="1:16" ht="51.75" thickBot="1" x14ac:dyDescent="0.25">
      <c r="A38" s="172"/>
      <c r="B38" s="165" t="s">
        <v>0</v>
      </c>
      <c r="C38" s="14" t="s">
        <v>17</v>
      </c>
      <c r="D38" s="15" t="s">
        <v>11</v>
      </c>
      <c r="E38" s="10">
        <f>E37</f>
        <v>244728</v>
      </c>
      <c r="F38" s="119">
        <f>0.0095+0.1923</f>
        <v>0.20180000000000001</v>
      </c>
      <c r="G38" s="92">
        <v>5</v>
      </c>
      <c r="H38" s="80">
        <f t="shared" ref="H38:H44" si="8">F38*(G38+100)/100</f>
        <v>0.21189</v>
      </c>
      <c r="I38" s="16">
        <f t="shared" si="7"/>
        <v>51855.42</v>
      </c>
    </row>
    <row r="39" spans="1:16" ht="13.5" thickBot="1" x14ac:dyDescent="0.25">
      <c r="A39" s="172"/>
      <c r="B39" s="167"/>
      <c r="C39" s="25" t="s">
        <v>27</v>
      </c>
      <c r="D39" s="26"/>
      <c r="E39" s="39">
        <f>1516+50*12*2</f>
        <v>2716</v>
      </c>
      <c r="F39" s="120">
        <v>22.3</v>
      </c>
      <c r="G39" s="84">
        <v>5</v>
      </c>
      <c r="H39" s="80">
        <f t="shared" si="8"/>
        <v>23.414999999999999</v>
      </c>
      <c r="I39" s="16">
        <f t="shared" si="7"/>
        <v>63595.14</v>
      </c>
    </row>
    <row r="40" spans="1:16" ht="13.5" thickBot="1" x14ac:dyDescent="0.25">
      <c r="A40" s="172"/>
      <c r="B40" s="167"/>
      <c r="C40" s="25" t="s">
        <v>28</v>
      </c>
      <c r="D40" s="26"/>
      <c r="E40" s="39">
        <f>E39</f>
        <v>2716</v>
      </c>
      <c r="F40" s="121">
        <v>0.08</v>
      </c>
      <c r="G40" s="85">
        <v>5</v>
      </c>
      <c r="H40" s="80">
        <f t="shared" si="8"/>
        <v>8.4000000000000005E-2</v>
      </c>
      <c r="I40" s="16">
        <f t="shared" si="7"/>
        <v>228.14</v>
      </c>
      <c r="O40" s="67"/>
    </row>
    <row r="41" spans="1:16" ht="13.5" thickBot="1" x14ac:dyDescent="0.25">
      <c r="A41" s="172"/>
      <c r="B41" s="167"/>
      <c r="C41" s="61" t="s">
        <v>42</v>
      </c>
      <c r="D41" s="60"/>
      <c r="E41" s="62">
        <f>E38</f>
        <v>244728</v>
      </c>
      <c r="F41" s="103">
        <v>8.9999999999999998E-4</v>
      </c>
      <c r="G41" s="86">
        <v>5</v>
      </c>
      <c r="H41" s="80">
        <f t="shared" si="8"/>
        <v>9.4499999999999998E-4</v>
      </c>
      <c r="I41" s="16">
        <f t="shared" si="7"/>
        <v>231.27</v>
      </c>
      <c r="P41" s="66"/>
    </row>
    <row r="42" spans="1:16" ht="13.5" thickBot="1" x14ac:dyDescent="0.25">
      <c r="A42" s="172"/>
      <c r="B42" s="167"/>
      <c r="C42" s="61" t="s">
        <v>43</v>
      </c>
      <c r="D42" s="60"/>
      <c r="E42" s="62">
        <f>E38</f>
        <v>244728</v>
      </c>
      <c r="F42" s="103">
        <v>4.0600000000000002E-3</v>
      </c>
      <c r="G42" s="86">
        <v>5</v>
      </c>
      <c r="H42" s="80">
        <f t="shared" si="8"/>
        <v>4.2630000000000003E-3</v>
      </c>
      <c r="I42" s="16">
        <f t="shared" si="7"/>
        <v>1043.28</v>
      </c>
    </row>
    <row r="43" spans="1:16" ht="13.5" thickBot="1" x14ac:dyDescent="0.25">
      <c r="A43" s="172"/>
      <c r="B43" s="167"/>
      <c r="C43" s="61" t="s">
        <v>44</v>
      </c>
      <c r="D43" s="60"/>
      <c r="E43" s="62">
        <f>E37*9/15</f>
        <v>146836.79999999999</v>
      </c>
      <c r="F43" s="103">
        <v>0.1026</v>
      </c>
      <c r="G43" s="86">
        <v>5</v>
      </c>
      <c r="H43" s="80">
        <f t="shared" si="8"/>
        <v>0.10772999999999999</v>
      </c>
      <c r="I43" s="16">
        <f t="shared" si="7"/>
        <v>15818.73</v>
      </c>
    </row>
    <row r="44" spans="1:16" ht="13.5" thickBot="1" x14ac:dyDescent="0.25">
      <c r="A44" s="173"/>
      <c r="B44" s="168"/>
      <c r="C44" s="27" t="s">
        <v>4</v>
      </c>
      <c r="D44" s="28"/>
      <c r="E44" s="41">
        <f>5*24*2</f>
        <v>240</v>
      </c>
      <c r="F44" s="122">
        <v>5</v>
      </c>
      <c r="G44" s="90">
        <v>5</v>
      </c>
      <c r="H44" s="80">
        <f t="shared" si="8"/>
        <v>5.25</v>
      </c>
      <c r="I44" s="16">
        <f t="shared" si="7"/>
        <v>1260</v>
      </c>
      <c r="J44" s="52"/>
    </row>
    <row r="45" spans="1:16" ht="16.5" thickBot="1" x14ac:dyDescent="0.25">
      <c r="A45" s="158" t="s">
        <v>38</v>
      </c>
      <c r="B45" s="159"/>
      <c r="C45" s="159"/>
      <c r="D45" s="159"/>
      <c r="E45" s="159"/>
      <c r="F45" s="159"/>
      <c r="G45" s="159"/>
      <c r="H45" s="159"/>
      <c r="I45" s="159"/>
    </row>
    <row r="46" spans="1:16" ht="64.5" thickBot="1" x14ac:dyDescent="0.25">
      <c r="A46" s="160"/>
      <c r="B46" s="163" t="s">
        <v>47</v>
      </c>
      <c r="C46" s="14" t="s">
        <v>21</v>
      </c>
      <c r="D46" s="54" t="s">
        <v>39</v>
      </c>
      <c r="E46" s="48">
        <f>148307*2</f>
        <v>296614</v>
      </c>
      <c r="F46" s="48"/>
      <c r="G46" s="130">
        <v>5</v>
      </c>
      <c r="H46" s="50"/>
      <c r="I46" s="16">
        <f t="shared" ref="I46:I48" si="9">ROUND(E46*H46,2)</f>
        <v>0</v>
      </c>
    </row>
    <row r="47" spans="1:16" ht="64.5" thickBot="1" x14ac:dyDescent="0.25">
      <c r="A47" s="161"/>
      <c r="B47" s="164"/>
      <c r="C47" s="14" t="s">
        <v>21</v>
      </c>
      <c r="D47" s="54" t="s">
        <v>40</v>
      </c>
      <c r="E47" s="129">
        <f>111230*2</f>
        <v>222460</v>
      </c>
      <c r="F47" s="131"/>
      <c r="G47" s="48">
        <v>5</v>
      </c>
      <c r="H47" s="50"/>
      <c r="I47" s="16">
        <f t="shared" si="9"/>
        <v>0</v>
      </c>
    </row>
    <row r="48" spans="1:16" ht="64.5" thickBot="1" x14ac:dyDescent="0.25">
      <c r="A48" s="161"/>
      <c r="B48" s="164"/>
      <c r="C48" s="14" t="s">
        <v>21</v>
      </c>
      <c r="D48" s="53" t="s">
        <v>6</v>
      </c>
      <c r="E48" s="129">
        <f>481999*2</f>
        <v>963998</v>
      </c>
      <c r="F48" s="48"/>
      <c r="G48" s="48">
        <v>5</v>
      </c>
      <c r="H48" s="50"/>
      <c r="I48" s="16">
        <f t="shared" si="9"/>
        <v>0</v>
      </c>
    </row>
    <row r="49" spans="1:10" ht="51.75" thickBot="1" x14ac:dyDescent="0.25">
      <c r="A49" s="161"/>
      <c r="B49" s="165" t="s">
        <v>0</v>
      </c>
      <c r="C49" s="22" t="s">
        <v>17</v>
      </c>
      <c r="D49" s="55" t="s">
        <v>39</v>
      </c>
      <c r="E49" s="48">
        <f>E46</f>
        <v>296614</v>
      </c>
      <c r="F49" s="110">
        <f>0.0095+AVERAGE(0.2053,0.1977)</f>
        <v>0.21100000000000002</v>
      </c>
      <c r="G49" s="93">
        <v>5</v>
      </c>
      <c r="H49" s="80">
        <f t="shared" ref="H49:H57" si="10">F49*(G49+100)/100</f>
        <v>0.22155000000000002</v>
      </c>
      <c r="I49" s="16">
        <f t="shared" ref="I49:I57" si="11">ROUND(E49*H49,2)</f>
        <v>65714.83</v>
      </c>
    </row>
    <row r="50" spans="1:10" ht="51.75" thickBot="1" x14ac:dyDescent="0.25">
      <c r="A50" s="161"/>
      <c r="B50" s="166"/>
      <c r="C50" s="22" t="s">
        <v>17</v>
      </c>
      <c r="D50" s="54" t="s">
        <v>40</v>
      </c>
      <c r="E50" s="48">
        <f t="shared" ref="E50" si="12">E47</f>
        <v>222460</v>
      </c>
      <c r="F50" s="110">
        <f>0.0095+AVERAGE(0.2983,0.2852)</f>
        <v>0.30125000000000002</v>
      </c>
      <c r="G50" s="93">
        <v>5</v>
      </c>
      <c r="H50" s="80">
        <f t="shared" si="10"/>
        <v>0.3163125</v>
      </c>
      <c r="I50" s="16">
        <f t="shared" si="11"/>
        <v>70366.880000000005</v>
      </c>
    </row>
    <row r="51" spans="1:10" ht="51.75" thickBot="1" x14ac:dyDescent="0.25">
      <c r="A51" s="161"/>
      <c r="B51" s="166"/>
      <c r="C51" s="23" t="s">
        <v>18</v>
      </c>
      <c r="D51" s="24" t="s">
        <v>6</v>
      </c>
      <c r="E51" s="48">
        <v>481999</v>
      </c>
      <c r="F51" s="110">
        <f>0.0095+AVERAGE(0.0724,0.0709)</f>
        <v>8.115E-2</v>
      </c>
      <c r="G51" s="93">
        <v>5</v>
      </c>
      <c r="H51" s="80">
        <f t="shared" si="10"/>
        <v>8.5207499999999992E-2</v>
      </c>
      <c r="I51" s="16">
        <f t="shared" si="11"/>
        <v>41069.93</v>
      </c>
    </row>
    <row r="52" spans="1:10" ht="13.5" thickBot="1" x14ac:dyDescent="0.25">
      <c r="A52" s="161"/>
      <c r="B52" s="167"/>
      <c r="C52" s="25" t="s">
        <v>27</v>
      </c>
      <c r="D52" s="26"/>
      <c r="E52" s="39">
        <f>238*12*2</f>
        <v>5712</v>
      </c>
      <c r="F52" s="111">
        <v>22.3</v>
      </c>
      <c r="G52" s="84">
        <v>5</v>
      </c>
      <c r="H52" s="80">
        <f t="shared" si="10"/>
        <v>23.414999999999999</v>
      </c>
      <c r="I52" s="16">
        <f t="shared" si="11"/>
        <v>133746.48000000001</v>
      </c>
    </row>
    <row r="53" spans="1:10" ht="13.5" thickBot="1" x14ac:dyDescent="0.25">
      <c r="A53" s="161"/>
      <c r="B53" s="167"/>
      <c r="C53" s="25" t="s">
        <v>28</v>
      </c>
      <c r="D53" s="26"/>
      <c r="E53" s="39">
        <f>E52</f>
        <v>5712</v>
      </c>
      <c r="F53" s="112">
        <v>0.08</v>
      </c>
      <c r="G53" s="85">
        <v>5</v>
      </c>
      <c r="H53" s="80">
        <f t="shared" si="10"/>
        <v>8.4000000000000005E-2</v>
      </c>
      <c r="I53" s="16">
        <f t="shared" si="11"/>
        <v>479.81</v>
      </c>
    </row>
    <row r="54" spans="1:10" ht="13.5" thickBot="1" x14ac:dyDescent="0.25">
      <c r="A54" s="161"/>
      <c r="B54" s="167"/>
      <c r="C54" s="61" t="s">
        <v>42</v>
      </c>
      <c r="D54" s="60"/>
      <c r="E54" s="62">
        <f>E51+E50+E49</f>
        <v>1001073</v>
      </c>
      <c r="F54" s="113">
        <v>8.9999999999999998E-4</v>
      </c>
      <c r="G54" s="86">
        <v>5</v>
      </c>
      <c r="H54" s="80">
        <f t="shared" si="10"/>
        <v>9.4499999999999998E-4</v>
      </c>
      <c r="I54" s="16">
        <f t="shared" si="11"/>
        <v>946.01</v>
      </c>
    </row>
    <row r="55" spans="1:10" ht="13.5" thickBot="1" x14ac:dyDescent="0.25">
      <c r="A55" s="161"/>
      <c r="B55" s="167"/>
      <c r="C55" s="61" t="s">
        <v>43</v>
      </c>
      <c r="D55" s="60"/>
      <c r="E55" s="62">
        <f>E54</f>
        <v>1001073</v>
      </c>
      <c r="F55" s="113">
        <v>4.0600000000000002E-3</v>
      </c>
      <c r="G55" s="94">
        <v>5</v>
      </c>
      <c r="H55" s="80">
        <f t="shared" si="10"/>
        <v>4.2630000000000003E-3</v>
      </c>
      <c r="I55" s="16">
        <f t="shared" si="11"/>
        <v>4267.57</v>
      </c>
    </row>
    <row r="56" spans="1:10" ht="13.5" thickBot="1" x14ac:dyDescent="0.25">
      <c r="A56" s="161"/>
      <c r="B56" s="167"/>
      <c r="C56" s="61" t="s">
        <v>44</v>
      </c>
      <c r="D56" s="60"/>
      <c r="E56" s="62">
        <f>(E49+E50+E51)*9/15</f>
        <v>600643.80000000005</v>
      </c>
      <c r="F56" s="113">
        <v>0.1026</v>
      </c>
      <c r="G56" s="86">
        <v>5</v>
      </c>
      <c r="H56" s="80">
        <f t="shared" si="10"/>
        <v>0.10772999999999999</v>
      </c>
      <c r="I56" s="16">
        <f t="shared" si="11"/>
        <v>64707.360000000001</v>
      </c>
    </row>
    <row r="57" spans="1:10" ht="13.5" thickBot="1" x14ac:dyDescent="0.25">
      <c r="A57" s="162"/>
      <c r="B57" s="168"/>
      <c r="C57" s="27" t="s">
        <v>4</v>
      </c>
      <c r="D57" s="28"/>
      <c r="E57" s="40">
        <f>24*2</f>
        <v>48</v>
      </c>
      <c r="F57" s="114">
        <v>5</v>
      </c>
      <c r="G57" s="95">
        <v>5</v>
      </c>
      <c r="H57" s="80">
        <f t="shared" si="10"/>
        <v>5.25</v>
      </c>
      <c r="I57" s="16">
        <f t="shared" si="11"/>
        <v>252</v>
      </c>
      <c r="J57" s="52"/>
    </row>
    <row r="58" spans="1:10" ht="16.5" thickBot="1" x14ac:dyDescent="0.25">
      <c r="A58" s="169" t="s">
        <v>41</v>
      </c>
      <c r="B58" s="170"/>
      <c r="C58" s="170"/>
      <c r="D58" s="170"/>
      <c r="E58" s="170"/>
      <c r="F58" s="170"/>
      <c r="G58" s="170"/>
      <c r="H58" s="170"/>
      <c r="I58" s="170"/>
    </row>
    <row r="59" spans="1:10" ht="64.5" thickBot="1" x14ac:dyDescent="0.25">
      <c r="A59" s="146"/>
      <c r="B59" s="149" t="s">
        <v>47</v>
      </c>
      <c r="C59" s="14" t="s">
        <v>22</v>
      </c>
      <c r="D59" s="13" t="s">
        <v>9</v>
      </c>
      <c r="E59" s="44">
        <f>158441*2</f>
        <v>316882</v>
      </c>
      <c r="F59" s="96"/>
      <c r="G59" s="44">
        <v>5</v>
      </c>
      <c r="H59" s="50"/>
      <c r="I59" s="16">
        <f t="shared" ref="I59:I61" si="13">ROUND(E59*H59,2)</f>
        <v>0</v>
      </c>
    </row>
    <row r="60" spans="1:10" ht="64.5" thickBot="1" x14ac:dyDescent="0.25">
      <c r="A60" s="147"/>
      <c r="B60" s="150"/>
      <c r="C60" s="14" t="s">
        <v>22</v>
      </c>
      <c r="D60" s="11" t="s">
        <v>10</v>
      </c>
      <c r="E60" s="128">
        <f>118831*2</f>
        <v>237662</v>
      </c>
      <c r="F60" s="44"/>
      <c r="G60" s="44">
        <v>5</v>
      </c>
      <c r="H60" s="50"/>
      <c r="I60" s="16">
        <f t="shared" si="13"/>
        <v>0</v>
      </c>
    </row>
    <row r="61" spans="1:10" ht="64.5" thickBot="1" x14ac:dyDescent="0.25">
      <c r="A61" s="147"/>
      <c r="B61" s="150"/>
      <c r="C61" s="14" t="s">
        <v>22</v>
      </c>
      <c r="D61" s="13" t="s">
        <v>45</v>
      </c>
      <c r="E61" s="45">
        <f>514933*2</f>
        <v>1029866</v>
      </c>
      <c r="F61" s="97"/>
      <c r="G61" s="44">
        <v>5</v>
      </c>
      <c r="H61" s="50"/>
      <c r="I61" s="16">
        <f t="shared" si="13"/>
        <v>0</v>
      </c>
    </row>
    <row r="62" spans="1:10" ht="51.75" thickBot="1" x14ac:dyDescent="0.25">
      <c r="A62" s="147"/>
      <c r="B62" s="149" t="s">
        <v>0</v>
      </c>
      <c r="C62" s="37" t="s">
        <v>20</v>
      </c>
      <c r="D62" s="11" t="s">
        <v>9</v>
      </c>
      <c r="E62" s="43">
        <f>E59</f>
        <v>316882</v>
      </c>
      <c r="F62" s="108">
        <f>0.00949+AVERAGE(55.99,55.44)/1000</f>
        <v>6.5204999999999999E-2</v>
      </c>
      <c r="G62" s="96">
        <v>5</v>
      </c>
      <c r="H62" s="80">
        <f t="shared" ref="H62:H70" si="14">F62*(G62+100)/100</f>
        <v>6.8465249999999991E-2</v>
      </c>
      <c r="I62" s="16">
        <f t="shared" ref="I62:I70" si="15">ROUND(E62*H62,2)</f>
        <v>21695.41</v>
      </c>
    </row>
    <row r="63" spans="1:10" ht="64.5" thickBot="1" x14ac:dyDescent="0.25">
      <c r="A63" s="147"/>
      <c r="B63" s="150"/>
      <c r="C63" s="38" t="s">
        <v>30</v>
      </c>
      <c r="D63" s="12" t="s">
        <v>10</v>
      </c>
      <c r="E63" s="43">
        <f t="shared" ref="E63:E64" si="16">E60</f>
        <v>237662</v>
      </c>
      <c r="F63" s="108">
        <f>0.00949+AVERAGE(68.94,68.87)/1000</f>
        <v>7.8395000000000006E-2</v>
      </c>
      <c r="G63" s="96">
        <v>5</v>
      </c>
      <c r="H63" s="80">
        <f t="shared" si="14"/>
        <v>8.231475000000002E-2</v>
      </c>
      <c r="I63" s="16">
        <f t="shared" si="15"/>
        <v>19563.09</v>
      </c>
    </row>
    <row r="64" spans="1:10" ht="64.5" thickBot="1" x14ac:dyDescent="0.25">
      <c r="A64" s="147"/>
      <c r="B64" s="150"/>
      <c r="C64" s="32" t="s">
        <v>31</v>
      </c>
      <c r="D64" s="11" t="s">
        <v>29</v>
      </c>
      <c r="E64" s="43">
        <f t="shared" si="16"/>
        <v>1029866</v>
      </c>
      <c r="F64" s="108">
        <f>0.00949+AVERAGE(24.79,20.76)/1000</f>
        <v>3.2265000000000002E-2</v>
      </c>
      <c r="G64" s="96">
        <v>5</v>
      </c>
      <c r="H64" s="80">
        <f t="shared" si="14"/>
        <v>3.3878250000000006E-2</v>
      </c>
      <c r="I64" s="16">
        <f t="shared" si="15"/>
        <v>34890.06</v>
      </c>
    </row>
    <row r="65" spans="1:10" ht="13.5" thickBot="1" x14ac:dyDescent="0.25">
      <c r="A65" s="147"/>
      <c r="B65" s="151"/>
      <c r="C65" s="33" t="s">
        <v>27</v>
      </c>
      <c r="D65" s="34"/>
      <c r="E65" s="47">
        <f>160*12*2</f>
        <v>3840</v>
      </c>
      <c r="F65" s="105">
        <v>14.83</v>
      </c>
      <c r="G65" s="98">
        <v>5</v>
      </c>
      <c r="H65" s="80">
        <f t="shared" si="14"/>
        <v>15.5715</v>
      </c>
      <c r="I65" s="16">
        <f t="shared" si="15"/>
        <v>59794.559999999998</v>
      </c>
    </row>
    <row r="66" spans="1:10" ht="13.5" thickBot="1" x14ac:dyDescent="0.25">
      <c r="A66" s="147"/>
      <c r="B66" s="151"/>
      <c r="C66" s="33" t="s">
        <v>28</v>
      </c>
      <c r="D66" s="34"/>
      <c r="E66" s="47">
        <f>E65</f>
        <v>3840</v>
      </c>
      <c r="F66" s="105">
        <v>0.19</v>
      </c>
      <c r="G66" s="98">
        <v>5</v>
      </c>
      <c r="H66" s="80">
        <f t="shared" si="14"/>
        <v>0.19949999999999998</v>
      </c>
      <c r="I66" s="16">
        <f t="shared" si="15"/>
        <v>766.08</v>
      </c>
    </row>
    <row r="67" spans="1:10" ht="13.5" thickBot="1" x14ac:dyDescent="0.25">
      <c r="A67" s="147"/>
      <c r="B67" s="151"/>
      <c r="C67" s="61" t="s">
        <v>42</v>
      </c>
      <c r="D67" s="60"/>
      <c r="E67" s="62">
        <f>E64+E63+E62</f>
        <v>1584410</v>
      </c>
      <c r="F67" s="106">
        <v>8.9999999999999998E-4</v>
      </c>
      <c r="G67" s="86">
        <v>5</v>
      </c>
      <c r="H67" s="80">
        <f t="shared" si="14"/>
        <v>9.4499999999999998E-4</v>
      </c>
      <c r="I67" s="16">
        <f t="shared" si="15"/>
        <v>1497.27</v>
      </c>
    </row>
    <row r="68" spans="1:10" ht="13.5" thickBot="1" x14ac:dyDescent="0.25">
      <c r="A68" s="147"/>
      <c r="B68" s="151"/>
      <c r="C68" s="61" t="s">
        <v>43</v>
      </c>
      <c r="D68" s="60"/>
      <c r="E68" s="62">
        <f>E67*9/15</f>
        <v>950646</v>
      </c>
      <c r="F68" s="106">
        <v>4.0600000000000002E-3</v>
      </c>
      <c r="G68" s="86">
        <v>5</v>
      </c>
      <c r="H68" s="80">
        <f t="shared" si="14"/>
        <v>4.2630000000000003E-3</v>
      </c>
      <c r="I68" s="16">
        <f t="shared" si="15"/>
        <v>4052.6</v>
      </c>
    </row>
    <row r="69" spans="1:10" ht="13.5" thickBot="1" x14ac:dyDescent="0.25">
      <c r="A69" s="147"/>
      <c r="B69" s="151"/>
      <c r="C69" s="61" t="s">
        <v>44</v>
      </c>
      <c r="D69" s="60"/>
      <c r="E69" s="62">
        <f>E63</f>
        <v>237662</v>
      </c>
      <c r="F69" s="106">
        <v>0.1026</v>
      </c>
      <c r="G69" s="86">
        <v>5</v>
      </c>
      <c r="H69" s="80">
        <f t="shared" si="14"/>
        <v>0.10772999999999999</v>
      </c>
      <c r="I69" s="16">
        <f t="shared" si="15"/>
        <v>25603.33</v>
      </c>
    </row>
    <row r="70" spans="1:10" ht="13.5" thickBot="1" x14ac:dyDescent="0.25">
      <c r="A70" s="148"/>
      <c r="B70" s="152"/>
      <c r="C70" s="35" t="s">
        <v>4</v>
      </c>
      <c r="D70" s="36"/>
      <c r="E70" s="46">
        <f>12*2</f>
        <v>24</v>
      </c>
      <c r="F70" s="109">
        <v>10</v>
      </c>
      <c r="G70" s="99">
        <v>5</v>
      </c>
      <c r="H70" s="80">
        <f t="shared" si="14"/>
        <v>10.5</v>
      </c>
      <c r="I70" s="16">
        <f t="shared" si="15"/>
        <v>252</v>
      </c>
      <c r="J70" s="52"/>
    </row>
    <row r="71" spans="1:10" ht="16.5" thickBot="1" x14ac:dyDescent="0.25">
      <c r="A71" s="153" t="s">
        <v>32</v>
      </c>
      <c r="B71" s="154"/>
      <c r="C71" s="154"/>
      <c r="D71" s="154"/>
      <c r="E71" s="154"/>
      <c r="F71" s="154"/>
      <c r="G71" s="154"/>
      <c r="H71" s="154"/>
      <c r="I71" s="154"/>
    </row>
    <row r="72" spans="1:10" ht="64.5" thickBot="1" x14ac:dyDescent="0.25">
      <c r="A72" s="155"/>
      <c r="B72" s="82" t="s">
        <v>47</v>
      </c>
      <c r="C72" s="14" t="s">
        <v>21</v>
      </c>
      <c r="D72" s="30" t="s">
        <v>7</v>
      </c>
      <c r="E72" s="49">
        <v>20352</v>
      </c>
      <c r="F72" s="100"/>
      <c r="G72" s="100">
        <v>5</v>
      </c>
      <c r="H72" s="80"/>
      <c r="I72" s="31">
        <f>E72*H72</f>
        <v>0</v>
      </c>
    </row>
    <row r="73" spans="1:10" ht="51.75" thickBot="1" x14ac:dyDescent="0.25">
      <c r="A73" s="156"/>
      <c r="B73" s="149" t="s">
        <v>0</v>
      </c>
      <c r="C73" s="29" t="s">
        <v>20</v>
      </c>
      <c r="D73" s="30" t="s">
        <v>11</v>
      </c>
      <c r="E73" s="49">
        <v>20352</v>
      </c>
      <c r="F73" s="104">
        <f>0.0095+0.244</f>
        <v>0.2535</v>
      </c>
      <c r="G73" s="100">
        <v>5</v>
      </c>
      <c r="H73" s="80">
        <f t="shared" ref="H73:H79" si="17">F73*(G73+100)/100</f>
        <v>0.26617499999999999</v>
      </c>
      <c r="I73" s="16">
        <f t="shared" ref="I73:I79" si="18">ROUND(E73*H73,2)</f>
        <v>5417.19</v>
      </c>
    </row>
    <row r="74" spans="1:10" ht="13.5" thickBot="1" x14ac:dyDescent="0.25">
      <c r="A74" s="156"/>
      <c r="B74" s="151"/>
      <c r="C74" s="51" t="s">
        <v>34</v>
      </c>
      <c r="D74" s="34"/>
      <c r="E74" s="47">
        <f>41*12*2</f>
        <v>984</v>
      </c>
      <c r="F74" s="105">
        <v>7.91</v>
      </c>
      <c r="G74" s="98">
        <v>5</v>
      </c>
      <c r="H74" s="80">
        <f t="shared" si="17"/>
        <v>8.3055000000000003</v>
      </c>
      <c r="I74" s="16">
        <f t="shared" si="18"/>
        <v>8172.61</v>
      </c>
    </row>
    <row r="75" spans="1:10" ht="13.5" thickBot="1" x14ac:dyDescent="0.25">
      <c r="A75" s="156"/>
      <c r="B75" s="151"/>
      <c r="C75" s="51" t="s">
        <v>35</v>
      </c>
      <c r="D75" s="34"/>
      <c r="E75" s="47">
        <f>E74</f>
        <v>984</v>
      </c>
      <c r="F75" s="105">
        <v>0.1</v>
      </c>
      <c r="G75" s="98">
        <v>5</v>
      </c>
      <c r="H75" s="80">
        <f t="shared" si="17"/>
        <v>0.105</v>
      </c>
      <c r="I75" s="16">
        <f t="shared" si="18"/>
        <v>103.32</v>
      </c>
    </row>
    <row r="76" spans="1:10" ht="13.5" thickBot="1" x14ac:dyDescent="0.25">
      <c r="A76" s="156"/>
      <c r="B76" s="151"/>
      <c r="C76" s="61" t="s">
        <v>42</v>
      </c>
      <c r="D76" s="60"/>
      <c r="E76" s="62">
        <f>E73</f>
        <v>20352</v>
      </c>
      <c r="F76" s="106">
        <v>8.9999999999999998E-4</v>
      </c>
      <c r="G76" s="86">
        <v>5</v>
      </c>
      <c r="H76" s="80">
        <f t="shared" si="17"/>
        <v>9.4499999999999998E-4</v>
      </c>
      <c r="I76" s="16">
        <f t="shared" si="18"/>
        <v>19.23</v>
      </c>
    </row>
    <row r="77" spans="1:10" ht="13.5" thickBot="1" x14ac:dyDescent="0.25">
      <c r="A77" s="156"/>
      <c r="B77" s="151"/>
      <c r="C77" s="61" t="s">
        <v>43</v>
      </c>
      <c r="D77" s="60"/>
      <c r="E77" s="62">
        <f>E73</f>
        <v>20352</v>
      </c>
      <c r="F77" s="106">
        <v>4.0600000000000002E-3</v>
      </c>
      <c r="G77" s="86">
        <v>5</v>
      </c>
      <c r="H77" s="80">
        <f t="shared" si="17"/>
        <v>4.2630000000000003E-3</v>
      </c>
      <c r="I77" s="16">
        <f t="shared" si="18"/>
        <v>86.76</v>
      </c>
    </row>
    <row r="78" spans="1:10" ht="13.5" thickBot="1" x14ac:dyDescent="0.25">
      <c r="A78" s="156"/>
      <c r="B78" s="151"/>
      <c r="C78" s="61" t="s">
        <v>44</v>
      </c>
      <c r="D78" s="60"/>
      <c r="E78" s="62">
        <f>E77*9/15</f>
        <v>12211.2</v>
      </c>
      <c r="F78" s="106">
        <v>0.1026</v>
      </c>
      <c r="G78" s="86">
        <v>5</v>
      </c>
      <c r="H78" s="80">
        <f t="shared" si="17"/>
        <v>0.10772999999999999</v>
      </c>
      <c r="I78" s="16">
        <f t="shared" si="18"/>
        <v>1315.51</v>
      </c>
    </row>
    <row r="79" spans="1:10" ht="13.5" thickBot="1" x14ac:dyDescent="0.25">
      <c r="A79" s="157"/>
      <c r="B79" s="152"/>
      <c r="C79" s="35" t="s">
        <v>4</v>
      </c>
      <c r="D79" s="36"/>
      <c r="E79" s="47">
        <f>41*12*2</f>
        <v>984</v>
      </c>
      <c r="F79" s="107">
        <v>3.15</v>
      </c>
      <c r="G79" s="101">
        <v>5</v>
      </c>
      <c r="H79" s="80">
        <f t="shared" si="17"/>
        <v>3.3075000000000001</v>
      </c>
      <c r="I79" s="16">
        <f t="shared" si="18"/>
        <v>3254.58</v>
      </c>
      <c r="J79" s="52"/>
    </row>
    <row r="80" spans="1:10" ht="16.5" thickBot="1" x14ac:dyDescent="0.3">
      <c r="A80" s="143" t="s">
        <v>46</v>
      </c>
      <c r="B80" s="144"/>
      <c r="C80" s="144"/>
      <c r="D80" s="144"/>
      <c r="E80" s="144"/>
      <c r="F80" s="144"/>
      <c r="G80" s="144"/>
      <c r="H80" s="145"/>
      <c r="I80" s="81"/>
      <c r="J80" s="68"/>
    </row>
    <row r="82" spans="1:20" x14ac:dyDescent="0.2">
      <c r="E82" s="142">
        <f>E72+E63+E62+E64+E46+E47+E48+E37+E17+E18+E28+E8</f>
        <v>4767410</v>
      </c>
      <c r="F82" s="65"/>
      <c r="G82" s="65"/>
    </row>
    <row r="87" spans="1:20" x14ac:dyDescent="0.2">
      <c r="E87" s="66"/>
      <c r="F87" s="66"/>
      <c r="G87" s="66"/>
    </row>
    <row r="90" spans="1:20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1:20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1:20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1:20" ht="15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70"/>
      <c r="P93" s="70"/>
      <c r="Q93" s="70"/>
      <c r="R93" s="71"/>
      <c r="S93" s="69"/>
      <c r="T93" s="69"/>
    </row>
    <row r="94" spans="1:20" ht="15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72"/>
      <c r="P94" s="73"/>
      <c r="Q94" s="74"/>
      <c r="R94" s="75"/>
      <c r="S94" s="69"/>
      <c r="T94" s="69"/>
    </row>
    <row r="95" spans="1:20" ht="15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2"/>
      <c r="P95" s="73"/>
      <c r="Q95" s="74"/>
      <c r="R95" s="75"/>
      <c r="S95" s="69"/>
      <c r="T95" s="69"/>
    </row>
    <row r="96" spans="1:20" ht="15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2"/>
      <c r="P96" s="73"/>
      <c r="Q96" s="74"/>
      <c r="R96" s="75"/>
      <c r="S96" s="69"/>
      <c r="T96" s="69"/>
    </row>
    <row r="97" spans="1:20" ht="15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2"/>
      <c r="P97" s="73"/>
      <c r="Q97" s="74"/>
      <c r="R97" s="75"/>
      <c r="S97" s="69"/>
      <c r="T97" s="69"/>
    </row>
    <row r="98" spans="1:20" ht="15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2"/>
      <c r="P98" s="73"/>
      <c r="Q98" s="74"/>
      <c r="R98" s="75"/>
      <c r="S98" s="69"/>
      <c r="T98" s="69"/>
    </row>
    <row r="99" spans="1:20" ht="15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72"/>
      <c r="P99" s="73"/>
      <c r="Q99" s="74"/>
      <c r="R99" s="75"/>
      <c r="S99" s="69"/>
      <c r="T99" s="69"/>
    </row>
    <row r="100" spans="1:20" ht="15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72"/>
      <c r="P100" s="73"/>
      <c r="Q100" s="74"/>
      <c r="R100" s="75"/>
      <c r="S100" s="69"/>
      <c r="T100" s="69"/>
    </row>
    <row r="101" spans="1:20" ht="15" x14ac:dyDescent="0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76"/>
      <c r="P101" s="73"/>
      <c r="Q101" s="77"/>
      <c r="R101" s="78"/>
      <c r="S101" s="69"/>
      <c r="T101" s="69"/>
    </row>
    <row r="102" spans="1:20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1:20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1:20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1:20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1:20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1:20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1:20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1:20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1:20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1:20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</row>
    <row r="112" spans="1:20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1:20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1:20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1:20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</row>
    <row r="116" spans="1:20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</row>
    <row r="117" spans="1:20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</row>
    <row r="118" spans="1:20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</row>
    <row r="119" spans="1:20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</row>
    <row r="120" spans="1:20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</row>
    <row r="121" spans="1:20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</row>
    <row r="122" spans="1:20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1:20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1:20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1:20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1:20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1:20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1:20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  <row r="129" spans="1:20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</row>
    <row r="130" spans="1:20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</row>
    <row r="131" spans="1:20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</row>
    <row r="132" spans="1:20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</row>
    <row r="133" spans="1:20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</row>
    <row r="134" spans="1:20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</row>
    <row r="135" spans="1:20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</row>
    <row r="136" spans="1:20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</row>
    <row r="137" spans="1:20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</row>
    <row r="138" spans="1:20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</row>
    <row r="139" spans="1:20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</row>
    <row r="140" spans="1:20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</row>
    <row r="141" spans="1:20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</row>
    <row r="142" spans="1:20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</row>
    <row r="143" spans="1:20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</row>
    <row r="144" spans="1:20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</row>
    <row r="145" spans="1:20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</row>
    <row r="146" spans="1:20" x14ac:dyDescent="0.2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</row>
    <row r="147" spans="1:20" x14ac:dyDescent="0.2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</row>
    <row r="148" spans="1:20" x14ac:dyDescent="0.2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</row>
    <row r="149" spans="1:20" x14ac:dyDescent="0.2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</row>
    <row r="150" spans="1:20" x14ac:dyDescent="0.2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</row>
    <row r="151" spans="1:20" x14ac:dyDescent="0.2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</row>
    <row r="152" spans="1:20" x14ac:dyDescent="0.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</row>
    <row r="153" spans="1:20" x14ac:dyDescent="0.2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</row>
    <row r="154" spans="1:20" x14ac:dyDescent="0.2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</row>
    <row r="155" spans="1:20" x14ac:dyDescent="0.2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</row>
    <row r="156" spans="1:20" x14ac:dyDescent="0.2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</row>
    <row r="157" spans="1:20" x14ac:dyDescent="0.2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</row>
    <row r="158" spans="1:20" x14ac:dyDescent="0.2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</row>
    <row r="159" spans="1:20" x14ac:dyDescent="0.2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</row>
    <row r="160" spans="1:20" x14ac:dyDescent="0.2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</row>
    <row r="161" spans="1:20" x14ac:dyDescent="0.2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</row>
    <row r="162" spans="1:20" x14ac:dyDescent="0.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</row>
    <row r="163" spans="1:20" x14ac:dyDescent="0.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</row>
    <row r="164" spans="1:20" x14ac:dyDescent="0.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</row>
    <row r="165" spans="1:20" x14ac:dyDescent="0.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</row>
    <row r="166" spans="1:20" x14ac:dyDescent="0.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</row>
    <row r="167" spans="1:20" x14ac:dyDescent="0.2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</row>
    <row r="168" spans="1:20" x14ac:dyDescent="0.2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</row>
    <row r="169" spans="1:20" x14ac:dyDescent="0.2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</row>
    <row r="170" spans="1:20" x14ac:dyDescent="0.2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</row>
    <row r="171" spans="1:20" x14ac:dyDescent="0.2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</row>
    <row r="172" spans="1:20" x14ac:dyDescent="0.2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</row>
    <row r="173" spans="1:20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</row>
    <row r="174" spans="1:20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</row>
    <row r="175" spans="1:20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</row>
    <row r="176" spans="1:20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</row>
    <row r="177" spans="1:20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</row>
    <row r="178" spans="1:20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</row>
    <row r="179" spans="1:20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</row>
    <row r="180" spans="1:20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</row>
    <row r="181" spans="1:20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</row>
    <row r="182" spans="1:20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</row>
    <row r="183" spans="1:20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</row>
    <row r="184" spans="1:20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</row>
    <row r="185" spans="1:20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</row>
    <row r="186" spans="1:20" x14ac:dyDescent="0.2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</row>
    <row r="187" spans="1:20" x14ac:dyDescent="0.2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</row>
    <row r="188" spans="1:20" x14ac:dyDescent="0.2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</row>
    <row r="189" spans="1:20" x14ac:dyDescent="0.2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</row>
    <row r="190" spans="1:20" x14ac:dyDescent="0.2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</row>
    <row r="191" spans="1:20" x14ac:dyDescent="0.2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</row>
    <row r="192" spans="1:20" x14ac:dyDescent="0.2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</row>
    <row r="193" spans="1:20" x14ac:dyDescent="0.2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</row>
    <row r="194" spans="1:20" x14ac:dyDescent="0.2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</row>
    <row r="195" spans="1:20" x14ac:dyDescent="0.2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</row>
    <row r="196" spans="1:20" x14ac:dyDescent="0.2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</row>
    <row r="197" spans="1:20" x14ac:dyDescent="0.2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</row>
    <row r="198" spans="1:20" x14ac:dyDescent="0.2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x14ac:dyDescent="0.2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x14ac:dyDescent="0.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</row>
    <row r="201" spans="1:20" x14ac:dyDescent="0.2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</row>
    <row r="202" spans="1:20" x14ac:dyDescent="0.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</row>
    <row r="203" spans="1:20" x14ac:dyDescent="0.2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</row>
    <row r="204" spans="1:20" x14ac:dyDescent="0.2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</row>
    <row r="205" spans="1:20" x14ac:dyDescent="0.2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</row>
    <row r="206" spans="1:20" x14ac:dyDescent="0.2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</row>
    <row r="207" spans="1:20" x14ac:dyDescent="0.2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</row>
    <row r="208" spans="1:20" x14ac:dyDescent="0.2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</row>
    <row r="209" spans="1:20" x14ac:dyDescent="0.2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</row>
    <row r="210" spans="1:20" x14ac:dyDescent="0.2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</row>
    <row r="211" spans="1:20" x14ac:dyDescent="0.2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</row>
    <row r="212" spans="1:20" x14ac:dyDescent="0.2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</row>
    <row r="213" spans="1:20" x14ac:dyDescent="0.2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</row>
    <row r="214" spans="1:20" x14ac:dyDescent="0.2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</row>
    <row r="215" spans="1:20" x14ac:dyDescent="0.2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</row>
    <row r="216" spans="1:20" x14ac:dyDescent="0.2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</row>
    <row r="217" spans="1:20" x14ac:dyDescent="0.2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</row>
    <row r="218" spans="1:20" x14ac:dyDescent="0.2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</row>
    <row r="219" spans="1:20" x14ac:dyDescent="0.2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</row>
    <row r="220" spans="1:20" x14ac:dyDescent="0.2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</row>
    <row r="221" spans="1:20" x14ac:dyDescent="0.2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</row>
    <row r="222" spans="1:20" x14ac:dyDescent="0.2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</row>
    <row r="223" spans="1:20" x14ac:dyDescent="0.2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</row>
    <row r="224" spans="1:20" x14ac:dyDescent="0.2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</row>
    <row r="225" spans="1:20" x14ac:dyDescent="0.2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</row>
    <row r="226" spans="1:20" x14ac:dyDescent="0.2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</row>
    <row r="227" spans="1:20" x14ac:dyDescent="0.2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</row>
    <row r="228" spans="1:20" x14ac:dyDescent="0.2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</row>
    <row r="229" spans="1:20" x14ac:dyDescent="0.2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</row>
    <row r="230" spans="1:20" x14ac:dyDescent="0.2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</row>
    <row r="231" spans="1:20" x14ac:dyDescent="0.2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</row>
    <row r="232" spans="1:20" x14ac:dyDescent="0.2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</row>
    <row r="233" spans="1:20" x14ac:dyDescent="0.2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</row>
    <row r="234" spans="1:20" x14ac:dyDescent="0.2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</row>
    <row r="235" spans="1:20" x14ac:dyDescent="0.2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</row>
    <row r="236" spans="1:20" x14ac:dyDescent="0.2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</row>
    <row r="237" spans="1:20" x14ac:dyDescent="0.2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</row>
    <row r="238" spans="1:20" x14ac:dyDescent="0.2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</row>
    <row r="239" spans="1:20" x14ac:dyDescent="0.2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</row>
    <row r="240" spans="1:20" x14ac:dyDescent="0.2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</row>
    <row r="241" spans="1:20" x14ac:dyDescent="0.2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</row>
    <row r="242" spans="1:20" x14ac:dyDescent="0.2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</row>
    <row r="243" spans="1:20" x14ac:dyDescent="0.2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</row>
    <row r="244" spans="1:20" x14ac:dyDescent="0.2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</row>
    <row r="245" spans="1:20" x14ac:dyDescent="0.2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</row>
    <row r="246" spans="1:20" x14ac:dyDescent="0.2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</row>
    <row r="247" spans="1:20" x14ac:dyDescent="0.2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</row>
    <row r="248" spans="1:20" x14ac:dyDescent="0.2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</row>
    <row r="249" spans="1:20" x14ac:dyDescent="0.2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</row>
    <row r="250" spans="1:20" x14ac:dyDescent="0.2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</row>
    <row r="251" spans="1:20" x14ac:dyDescent="0.2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</row>
    <row r="252" spans="1:20" x14ac:dyDescent="0.2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</row>
    <row r="253" spans="1:20" x14ac:dyDescent="0.2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</row>
    <row r="254" spans="1:20" x14ac:dyDescent="0.2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</row>
    <row r="255" spans="1:20" x14ac:dyDescent="0.2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</row>
    <row r="256" spans="1:20" x14ac:dyDescent="0.2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</row>
    <row r="257" spans="1:20" x14ac:dyDescent="0.2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</row>
    <row r="258" spans="1:20" x14ac:dyDescent="0.2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</row>
    <row r="259" spans="1:20" x14ac:dyDescent="0.2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</row>
    <row r="260" spans="1:20" x14ac:dyDescent="0.2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</row>
    <row r="261" spans="1:20" x14ac:dyDescent="0.2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</row>
    <row r="262" spans="1:20" x14ac:dyDescent="0.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</row>
    <row r="263" spans="1:20" x14ac:dyDescent="0.2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</row>
    <row r="264" spans="1:20" x14ac:dyDescent="0.2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</row>
    <row r="265" spans="1:20" x14ac:dyDescent="0.2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</row>
    <row r="266" spans="1:20" x14ac:dyDescent="0.2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</row>
    <row r="267" spans="1:20" x14ac:dyDescent="0.2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</row>
    <row r="268" spans="1:20" x14ac:dyDescent="0.2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</row>
    <row r="269" spans="1:20" x14ac:dyDescent="0.2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</row>
    <row r="270" spans="1:20" x14ac:dyDescent="0.2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</row>
    <row r="271" spans="1:20" x14ac:dyDescent="0.2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</row>
    <row r="272" spans="1:20" x14ac:dyDescent="0.2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</row>
    <row r="273" spans="1:20" x14ac:dyDescent="0.2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</row>
    <row r="274" spans="1:20" x14ac:dyDescent="0.2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</row>
    <row r="275" spans="1:20" x14ac:dyDescent="0.2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</row>
    <row r="276" spans="1:20" x14ac:dyDescent="0.2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</row>
    <row r="277" spans="1:20" x14ac:dyDescent="0.2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</row>
    <row r="278" spans="1:20" x14ac:dyDescent="0.2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</row>
    <row r="279" spans="1:20" x14ac:dyDescent="0.2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</row>
    <row r="280" spans="1:20" x14ac:dyDescent="0.2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</row>
    <row r="281" spans="1:20" x14ac:dyDescent="0.2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</row>
    <row r="282" spans="1:20" x14ac:dyDescent="0.2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</row>
    <row r="283" spans="1:20" x14ac:dyDescent="0.2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</row>
    <row r="284" spans="1:20" x14ac:dyDescent="0.2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</row>
    <row r="285" spans="1:20" x14ac:dyDescent="0.2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</row>
    <row r="286" spans="1:20" x14ac:dyDescent="0.2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</row>
    <row r="287" spans="1:20" x14ac:dyDescent="0.2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</row>
    <row r="288" spans="1:20" x14ac:dyDescent="0.2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</row>
    <row r="289" spans="1:20" x14ac:dyDescent="0.2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</row>
    <row r="290" spans="1:20" x14ac:dyDescent="0.2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</row>
    <row r="291" spans="1:20" x14ac:dyDescent="0.2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</row>
    <row r="292" spans="1:20" x14ac:dyDescent="0.2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</row>
    <row r="293" spans="1:20" x14ac:dyDescent="0.2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</row>
    <row r="294" spans="1:20" x14ac:dyDescent="0.2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</row>
    <row r="295" spans="1:20" x14ac:dyDescent="0.2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</row>
    <row r="296" spans="1:20" x14ac:dyDescent="0.2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</row>
    <row r="297" spans="1:20" x14ac:dyDescent="0.2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</row>
    <row r="298" spans="1:20" x14ac:dyDescent="0.2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</row>
    <row r="299" spans="1:20" x14ac:dyDescent="0.2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</row>
    <row r="300" spans="1:20" x14ac:dyDescent="0.2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</row>
    <row r="301" spans="1:20" x14ac:dyDescent="0.2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</row>
    <row r="302" spans="1:20" x14ac:dyDescent="0.2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</row>
    <row r="303" spans="1:20" x14ac:dyDescent="0.2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</row>
    <row r="304" spans="1:20" x14ac:dyDescent="0.2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</row>
    <row r="305" spans="1:20" x14ac:dyDescent="0.2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</row>
    <row r="306" spans="1:20" x14ac:dyDescent="0.2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</row>
    <row r="307" spans="1:20" x14ac:dyDescent="0.2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</row>
    <row r="308" spans="1:20" x14ac:dyDescent="0.2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</row>
    <row r="309" spans="1:20" x14ac:dyDescent="0.2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</row>
    <row r="310" spans="1:20" x14ac:dyDescent="0.2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</row>
    <row r="311" spans="1:20" x14ac:dyDescent="0.2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</row>
    <row r="312" spans="1:20" x14ac:dyDescent="0.2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</row>
    <row r="313" spans="1:20" x14ac:dyDescent="0.2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</row>
    <row r="314" spans="1:20" x14ac:dyDescent="0.2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</row>
    <row r="315" spans="1:20" x14ac:dyDescent="0.2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</row>
    <row r="316" spans="1:20" x14ac:dyDescent="0.2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</row>
    <row r="317" spans="1:20" x14ac:dyDescent="0.2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</row>
    <row r="318" spans="1:20" x14ac:dyDescent="0.2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</row>
    <row r="319" spans="1:20" x14ac:dyDescent="0.2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</row>
    <row r="320" spans="1:20" x14ac:dyDescent="0.2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</row>
    <row r="321" spans="1:20" x14ac:dyDescent="0.2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</row>
    <row r="322" spans="1:20" x14ac:dyDescent="0.2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</row>
    <row r="323" spans="1:20" x14ac:dyDescent="0.2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</row>
    <row r="324" spans="1:20" x14ac:dyDescent="0.2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</row>
    <row r="325" spans="1:20" x14ac:dyDescent="0.2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</row>
    <row r="326" spans="1:20" x14ac:dyDescent="0.2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</row>
    <row r="327" spans="1:20" x14ac:dyDescent="0.2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</row>
    <row r="328" spans="1:20" x14ac:dyDescent="0.2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</row>
    <row r="329" spans="1:20" x14ac:dyDescent="0.2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</row>
    <row r="330" spans="1:20" x14ac:dyDescent="0.2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</row>
    <row r="331" spans="1:20" x14ac:dyDescent="0.2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</row>
    <row r="332" spans="1:20" x14ac:dyDescent="0.2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</row>
    <row r="333" spans="1:20" x14ac:dyDescent="0.2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</row>
    <row r="334" spans="1:20" x14ac:dyDescent="0.2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</row>
    <row r="335" spans="1:20" x14ac:dyDescent="0.2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</row>
    <row r="336" spans="1:20" x14ac:dyDescent="0.2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</row>
    <row r="337" spans="1:20" x14ac:dyDescent="0.2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</row>
    <row r="338" spans="1:20" x14ac:dyDescent="0.2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</row>
    <row r="339" spans="1:20" x14ac:dyDescent="0.2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</row>
    <row r="340" spans="1:20" x14ac:dyDescent="0.2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</row>
    <row r="341" spans="1:20" x14ac:dyDescent="0.2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</row>
    <row r="342" spans="1:20" x14ac:dyDescent="0.2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</row>
    <row r="343" spans="1:20" x14ac:dyDescent="0.2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</row>
    <row r="344" spans="1:20" x14ac:dyDescent="0.2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</row>
    <row r="345" spans="1:20" x14ac:dyDescent="0.2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</row>
    <row r="346" spans="1:20" x14ac:dyDescent="0.2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</row>
    <row r="347" spans="1:20" x14ac:dyDescent="0.2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</row>
    <row r="348" spans="1:20" x14ac:dyDescent="0.2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</row>
    <row r="349" spans="1:20" x14ac:dyDescent="0.2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</row>
    <row r="350" spans="1:20" x14ac:dyDescent="0.2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</row>
    <row r="351" spans="1:20" x14ac:dyDescent="0.2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</row>
    <row r="352" spans="1:20" x14ac:dyDescent="0.2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</row>
    <row r="353" spans="1:20" x14ac:dyDescent="0.2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</row>
    <row r="354" spans="1:20" x14ac:dyDescent="0.2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</row>
    <row r="355" spans="1:20" x14ac:dyDescent="0.2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</row>
    <row r="356" spans="1:20" x14ac:dyDescent="0.2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</row>
    <row r="357" spans="1:20" x14ac:dyDescent="0.2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</row>
    <row r="358" spans="1:20" x14ac:dyDescent="0.2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</row>
    <row r="359" spans="1:20" x14ac:dyDescent="0.2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</row>
    <row r="360" spans="1:20" x14ac:dyDescent="0.2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</row>
    <row r="361" spans="1:20" x14ac:dyDescent="0.2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</row>
    <row r="362" spans="1:20" x14ac:dyDescent="0.2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</row>
    <row r="363" spans="1:20" x14ac:dyDescent="0.2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</row>
    <row r="364" spans="1:20" x14ac:dyDescent="0.2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</row>
    <row r="365" spans="1:20" x14ac:dyDescent="0.2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</row>
    <row r="366" spans="1:20" x14ac:dyDescent="0.2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</row>
    <row r="367" spans="1:20" x14ac:dyDescent="0.2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</row>
    <row r="368" spans="1:20" x14ac:dyDescent="0.2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</row>
  </sheetData>
  <mergeCells count="27">
    <mergeCell ref="B4:I4"/>
    <mergeCell ref="A7:I7"/>
    <mergeCell ref="A8:A15"/>
    <mergeCell ref="B9:B15"/>
    <mergeCell ref="B1:C2"/>
    <mergeCell ref="A16:I16"/>
    <mergeCell ref="A17:A26"/>
    <mergeCell ref="B17:B18"/>
    <mergeCell ref="B19:B26"/>
    <mergeCell ref="A27:I27"/>
    <mergeCell ref="A28:A35"/>
    <mergeCell ref="B29:B35"/>
    <mergeCell ref="A36:I36"/>
    <mergeCell ref="A37:A44"/>
    <mergeCell ref="B38:B44"/>
    <mergeCell ref="A45:I45"/>
    <mergeCell ref="A46:A57"/>
    <mergeCell ref="B46:B48"/>
    <mergeCell ref="B49:B57"/>
    <mergeCell ref="A58:I58"/>
    <mergeCell ref="A80:H80"/>
    <mergeCell ref="A59:A70"/>
    <mergeCell ref="B59:B61"/>
    <mergeCell ref="B62:B70"/>
    <mergeCell ref="A71:I71"/>
    <mergeCell ref="A72:A79"/>
    <mergeCell ref="B73:B79"/>
  </mergeCells>
  <phoneticPr fontId="6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Dominika Stopa</cp:lastModifiedBy>
  <cp:lastPrinted>2022-06-30T12:22:25Z</cp:lastPrinted>
  <dcterms:created xsi:type="dcterms:W3CDTF">1997-02-26T13:46:56Z</dcterms:created>
  <dcterms:modified xsi:type="dcterms:W3CDTF">2022-08-31T08:30:00Z</dcterms:modified>
</cp:coreProperties>
</file>