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8535" activeTab="1"/>
  </bookViews>
  <sheets>
    <sheet name="ZBIORÓWKA" sheetId="8" r:id="rId1"/>
    <sheet name="zad nr 01 Stary Dzików do oczys" sheetId="16" r:id="rId2"/>
    <sheet name="zad nr 02 Nowy Dzików przez wie" sheetId="15" r:id="rId3"/>
    <sheet name="zad nr 03 Cewków - Kąt Północny" sheetId="14" r:id="rId4"/>
    <sheet name="zad nr 04 Cewków - Ogrody" sheetId="17" r:id="rId5"/>
    <sheet name="zad nr 05 Ułazów - Parachówka" sheetId="18" r:id="rId6"/>
    <sheet name="zad nr 06 Ułazów - Obsza etap I" sheetId="19" r:id="rId7"/>
    <sheet name="zad nr 07 St Dzików Sobieskiego" sheetId="20" r:id="rId8"/>
    <sheet name="zad nr 08 St Dzików k cmentarza" sheetId="21" r:id="rId9"/>
    <sheet name="zad nr 09 Moszczanica do Kantor" sheetId="22" r:id="rId10"/>
    <sheet name="zad nr 10 Moszczanica do Pokryw" sheetId="23" r:id="rId11"/>
    <sheet name="zad nr 11 Stary Dzików ul Szafe" sheetId="24" r:id="rId12"/>
    <sheet name="zad nr 12 Stary Dzików Koprenik" sheetId="26" r:id="rId13"/>
    <sheet name="zad nr 13 N Dzików - Ulazów" sheetId="25" r:id="rId14"/>
  </sheets>
  <definedNames>
    <definedName name="_xlnm.Print_Area" localSheetId="1">'zad nr 01 Stary Dzików do oczys'!$A$1:$G$46</definedName>
    <definedName name="_xlnm.Print_Area" localSheetId="2">'zad nr 02 Nowy Dzików przez wie'!$A$1:$G$43</definedName>
    <definedName name="_xlnm.Print_Area" localSheetId="3">'zad nr 03 Cewków - Kąt Północny'!$A$1:$G$42</definedName>
    <definedName name="_xlnm.Print_Area" localSheetId="4">'zad nr 04 Cewków - Ogrody'!$A$1:$G$43</definedName>
    <definedName name="_xlnm.Print_Area" localSheetId="5">'zad nr 05 Ułazów - Parachówka'!$A$1:$G$49</definedName>
    <definedName name="_xlnm.Print_Area" localSheetId="6">'zad nr 06 Ułazów - Obsza etap I'!$A$1:$G$45</definedName>
    <definedName name="_xlnm.Print_Area" localSheetId="7">'zad nr 07 St Dzików Sobieskiego'!$A$1:$G$47</definedName>
    <definedName name="_xlnm.Print_Area" localSheetId="8">'zad nr 08 St Dzików k cmentarza'!$A$1:$G$54</definedName>
    <definedName name="_xlnm.Print_Area" localSheetId="9">'zad nr 09 Moszczanica do Kantor'!$A$1:$G$45</definedName>
    <definedName name="_xlnm.Print_Area" localSheetId="10">'zad nr 10 Moszczanica do Pokryw'!$A$1:$G$36</definedName>
    <definedName name="_xlnm.Print_Area" localSheetId="11">'zad nr 11 Stary Dzików ul Szafe'!$A$1:$G$47</definedName>
    <definedName name="_xlnm.Print_Area" localSheetId="12">'zad nr 12 Stary Dzików Koprenik'!$A$1:$G$48</definedName>
    <definedName name="_xlnm.Print_Area" localSheetId="13">'zad nr 13 N Dzików - Ulazów'!$A$1:$G$36</definedName>
    <definedName name="_xlnm.Print_Area" localSheetId="0">ZBIORÓWKA!$A$1:$F$21</definedName>
    <definedName name="_xlnm.Print_Titles" localSheetId="1">'zad nr 01 Stary Dzików do oczys'!$4:$5</definedName>
    <definedName name="_xlnm.Print_Titles" localSheetId="2">'zad nr 02 Nowy Dzików przez wie'!$4:$5</definedName>
    <definedName name="_xlnm.Print_Titles" localSheetId="3">'zad nr 03 Cewków - Kąt Północny'!$4:$5</definedName>
    <definedName name="_xlnm.Print_Titles" localSheetId="4">'zad nr 04 Cewków - Ogrody'!$4:$5</definedName>
    <definedName name="_xlnm.Print_Titles" localSheetId="5">'zad nr 05 Ułazów - Parachówka'!$4:$5</definedName>
    <definedName name="_xlnm.Print_Titles" localSheetId="6">'zad nr 06 Ułazów - Obsza etap I'!$4:$5</definedName>
    <definedName name="_xlnm.Print_Titles" localSheetId="7">'zad nr 07 St Dzików Sobieskiego'!$4:$5</definedName>
    <definedName name="_xlnm.Print_Titles" localSheetId="8">'zad nr 08 St Dzików k cmentarza'!$4:$5</definedName>
    <definedName name="_xlnm.Print_Titles" localSheetId="9">'zad nr 09 Moszczanica do Kantor'!$4:$5</definedName>
    <definedName name="_xlnm.Print_Titles" localSheetId="10">'zad nr 10 Moszczanica do Pokryw'!$4:$5</definedName>
    <definedName name="_xlnm.Print_Titles" localSheetId="11">'zad nr 11 Stary Dzików ul Szafe'!$4:$5</definedName>
    <definedName name="_xlnm.Print_Titles" localSheetId="12">'zad nr 12 Stary Dzików Koprenik'!$4:$5</definedName>
    <definedName name="_xlnm.Print_Titles" localSheetId="13">'zad nr 13 N Dzików - Ulazów'!$4:$5</definedName>
  </definedNames>
  <calcPr calcId="125725"/>
</workbook>
</file>

<file path=xl/calcChain.xml><?xml version="1.0" encoding="utf-8"?>
<calcChain xmlns="http://schemas.openxmlformats.org/spreadsheetml/2006/main">
  <c r="E27" i="26"/>
  <c r="E27" i="24"/>
  <c r="E20" i="15"/>
  <c r="E20" i="17" l="1"/>
  <c r="E21" i="14" l="1"/>
  <c r="G21"/>
  <c r="E19" i="15"/>
  <c r="G30" i="14"/>
  <c r="G29"/>
  <c r="G28"/>
  <c r="G25"/>
  <c r="G26" s="1"/>
  <c r="G14"/>
  <c r="E15"/>
  <c r="G31" l="1"/>
  <c r="G18" i="26"/>
  <c r="G15"/>
  <c r="G16"/>
  <c r="G29" i="25"/>
  <c r="G37" i="26"/>
  <c r="G32" i="24"/>
  <c r="G28" i="23"/>
  <c r="G37" i="22"/>
  <c r="G46" i="21"/>
  <c r="G38" i="20"/>
  <c r="G37" i="19"/>
  <c r="G39" i="18"/>
  <c r="G33" i="17"/>
  <c r="G34" i="14"/>
  <c r="G25" i="15"/>
  <c r="G29" i="16" l="1"/>
  <c r="G42" i="26"/>
  <c r="E32"/>
  <c r="G32" s="1"/>
  <c r="G10"/>
  <c r="E9"/>
  <c r="G19"/>
  <c r="G14"/>
  <c r="G43" l="1"/>
  <c r="G39"/>
  <c r="G38"/>
  <c r="G36"/>
  <c r="G33"/>
  <c r="G31"/>
  <c r="G28"/>
  <c r="G27"/>
  <c r="G26"/>
  <c r="G25"/>
  <c r="G24"/>
  <c r="G23"/>
  <c r="G20"/>
  <c r="G17"/>
  <c r="G11"/>
  <c r="G9"/>
  <c r="G8"/>
  <c r="G7"/>
  <c r="G14" i="25"/>
  <c r="G13"/>
  <c r="G7"/>
  <c r="G8"/>
  <c r="G31"/>
  <c r="G30"/>
  <c r="G28"/>
  <c r="G25"/>
  <c r="G24"/>
  <c r="G21"/>
  <c r="G22" s="1"/>
  <c r="G18"/>
  <c r="G17"/>
  <c r="G12"/>
  <c r="G11"/>
  <c r="G27" i="24"/>
  <c r="G23"/>
  <c r="G21" i="26" l="1"/>
  <c r="G44"/>
  <c r="G34"/>
  <c r="G40"/>
  <c r="G12"/>
  <c r="G29"/>
  <c r="G9" i="25"/>
  <c r="G26"/>
  <c r="G32"/>
  <c r="G19"/>
  <c r="G15"/>
  <c r="G9" i="24"/>
  <c r="E11"/>
  <c r="G42"/>
  <c r="G41"/>
  <c r="G38"/>
  <c r="G39" s="1"/>
  <c r="G35"/>
  <c r="G34"/>
  <c r="G33"/>
  <c r="G31"/>
  <c r="G28"/>
  <c r="G29" s="1"/>
  <c r="G24"/>
  <c r="G22"/>
  <c r="G21"/>
  <c r="G20"/>
  <c r="G19"/>
  <c r="G16"/>
  <c r="G15"/>
  <c r="G14"/>
  <c r="G11"/>
  <c r="G10"/>
  <c r="G8"/>
  <c r="G7"/>
  <c r="F45" i="26" l="1"/>
  <c r="F46" s="1"/>
  <c r="F47" s="1"/>
  <c r="G49" s="1"/>
  <c r="F33" i="25"/>
  <c r="F34" s="1"/>
  <c r="F35" s="1"/>
  <c r="G37" s="1"/>
  <c r="G43" i="24"/>
  <c r="G36"/>
  <c r="G25"/>
  <c r="G17"/>
  <c r="G12"/>
  <c r="G29" i="23"/>
  <c r="G8"/>
  <c r="G31"/>
  <c r="G30"/>
  <c r="G27"/>
  <c r="G24"/>
  <c r="G23"/>
  <c r="G20"/>
  <c r="G21" s="1"/>
  <c r="G17"/>
  <c r="G16"/>
  <c r="E13"/>
  <c r="G13" s="1"/>
  <c r="G12"/>
  <c r="G11"/>
  <c r="G7"/>
  <c r="F44" i="24" l="1"/>
  <c r="F45" s="1"/>
  <c r="F46" s="1"/>
  <c r="G48" s="1"/>
  <c r="E38" i="25"/>
  <c r="E16" i="8"/>
  <c r="E50" i="26"/>
  <c r="E15" i="8"/>
  <c r="G25" i="23"/>
  <c r="G9"/>
  <c r="G18"/>
  <c r="G14"/>
  <c r="G32"/>
  <c r="F33" l="1"/>
  <c r="F34" s="1"/>
  <c r="F35" s="1"/>
  <c r="G37" s="1"/>
  <c r="E14" i="8"/>
  <c r="E49" i="24"/>
  <c r="G40" i="22"/>
  <c r="G39"/>
  <c r="G38"/>
  <c r="G36"/>
  <c r="G33"/>
  <c r="G32"/>
  <c r="G31"/>
  <c r="G28"/>
  <c r="G29" s="1"/>
  <c r="G25"/>
  <c r="G24"/>
  <c r="G23"/>
  <c r="E20"/>
  <c r="G20" s="1"/>
  <c r="G19"/>
  <c r="G18"/>
  <c r="G15"/>
  <c r="G14"/>
  <c r="G13"/>
  <c r="G10"/>
  <c r="G9"/>
  <c r="G8"/>
  <c r="G7"/>
  <c r="E13" i="8" l="1"/>
  <c r="E38" i="23"/>
  <c r="G41" i="22"/>
  <c r="G34"/>
  <c r="G21"/>
  <c r="G16"/>
  <c r="G11"/>
  <c r="G26"/>
  <c r="G22" i="21"/>
  <c r="E34"/>
  <c r="G34" s="1"/>
  <c r="G35"/>
  <c r="G33"/>
  <c r="G32"/>
  <c r="G31"/>
  <c r="G15"/>
  <c r="G14"/>
  <c r="G49"/>
  <c r="G48"/>
  <c r="G47"/>
  <c r="G45"/>
  <c r="G42"/>
  <c r="G41"/>
  <c r="G38"/>
  <c r="G39" s="1"/>
  <c r="G28"/>
  <c r="G27"/>
  <c r="G26"/>
  <c r="E23"/>
  <c r="G23" s="1"/>
  <c r="G21"/>
  <c r="G20"/>
  <c r="G17"/>
  <c r="G16"/>
  <c r="G13"/>
  <c r="G10"/>
  <c r="G9"/>
  <c r="G8"/>
  <c r="G7"/>
  <c r="E21" i="20"/>
  <c r="G20"/>
  <c r="G42"/>
  <c r="G41"/>
  <c r="G40"/>
  <c r="G39"/>
  <c r="G37"/>
  <c r="G34"/>
  <c r="G33"/>
  <c r="G32"/>
  <c r="G29"/>
  <c r="G30" s="1"/>
  <c r="G26"/>
  <c r="G25"/>
  <c r="G24"/>
  <c r="G21"/>
  <c r="G19"/>
  <c r="G18"/>
  <c r="G15"/>
  <c r="G14"/>
  <c r="G13"/>
  <c r="G10"/>
  <c r="G9"/>
  <c r="G8"/>
  <c r="G7"/>
  <c r="F42" i="22" l="1"/>
  <c r="F43" s="1"/>
  <c r="F44" s="1"/>
  <c r="G46" s="1"/>
  <c r="G36" i="21"/>
  <c r="G43"/>
  <c r="G50"/>
  <c r="G11"/>
  <c r="G29"/>
  <c r="G18"/>
  <c r="G24"/>
  <c r="G22" i="20"/>
  <c r="G43"/>
  <c r="G11"/>
  <c r="G27"/>
  <c r="G16"/>
  <c r="G35"/>
  <c r="E9" i="19"/>
  <c r="F51" i="21" l="1"/>
  <c r="F52" s="1"/>
  <c r="F53" s="1"/>
  <c r="G55" s="1"/>
  <c r="E56" s="1"/>
  <c r="E12" i="8"/>
  <c r="E47" i="22"/>
  <c r="F44" i="20"/>
  <c r="F45" s="1"/>
  <c r="F46" s="1"/>
  <c r="G48" s="1"/>
  <c r="E49" s="1"/>
  <c r="G40" i="19"/>
  <c r="G39"/>
  <c r="G38"/>
  <c r="G36"/>
  <c r="G33"/>
  <c r="G32"/>
  <c r="G29"/>
  <c r="G30" s="1"/>
  <c r="G26"/>
  <c r="G25"/>
  <c r="G24"/>
  <c r="G21"/>
  <c r="G20"/>
  <c r="G19"/>
  <c r="G16"/>
  <c r="G15"/>
  <c r="G14"/>
  <c r="G13"/>
  <c r="G10"/>
  <c r="G9"/>
  <c r="G8"/>
  <c r="G7"/>
  <c r="G26" i="18"/>
  <c r="G14"/>
  <c r="G17"/>
  <c r="G16"/>
  <c r="G15"/>
  <c r="G13"/>
  <c r="E9"/>
  <c r="G9" s="1"/>
  <c r="E8"/>
  <c r="G8" s="1"/>
  <c r="G10"/>
  <c r="G7"/>
  <c r="G44"/>
  <c r="G43"/>
  <c r="G42"/>
  <c r="G41"/>
  <c r="G40"/>
  <c r="G38"/>
  <c r="G35"/>
  <c r="G34"/>
  <c r="G33"/>
  <c r="G30"/>
  <c r="G31" s="1"/>
  <c r="G27"/>
  <c r="G25"/>
  <c r="G22"/>
  <c r="G21"/>
  <c r="G20"/>
  <c r="E11" i="8" l="1"/>
  <c r="G11" i="18"/>
  <c r="E10" i="8"/>
  <c r="G34" i="19"/>
  <c r="G27"/>
  <c r="G22"/>
  <c r="G41"/>
  <c r="G17"/>
  <c r="G11"/>
  <c r="G18" i="18"/>
  <c r="G28"/>
  <c r="G45"/>
  <c r="G23"/>
  <c r="G36"/>
  <c r="G29" i="17"/>
  <c r="G28"/>
  <c r="G27"/>
  <c r="G24"/>
  <c r="G25" s="1"/>
  <c r="G36"/>
  <c r="G35"/>
  <c r="G9"/>
  <c r="G15"/>
  <c r="G14"/>
  <c r="G16"/>
  <c r="E10"/>
  <c r="G10" s="1"/>
  <c r="E8"/>
  <c r="G8" s="1"/>
  <c r="G38"/>
  <c r="G37"/>
  <c r="G34"/>
  <c r="G32"/>
  <c r="G21"/>
  <c r="G20"/>
  <c r="G17"/>
  <c r="G11"/>
  <c r="G7"/>
  <c r="G22" l="1"/>
  <c r="F42" i="19"/>
  <c r="F43" s="1"/>
  <c r="F44" s="1"/>
  <c r="G46" s="1"/>
  <c r="F46" i="18"/>
  <c r="F47" s="1"/>
  <c r="F48" s="1"/>
  <c r="G50" s="1"/>
  <c r="E51" s="1"/>
  <c r="G30" i="17"/>
  <c r="G39"/>
  <c r="G18"/>
  <c r="G12"/>
  <c r="F15" i="8"/>
  <c r="E8" i="14"/>
  <c r="G41" i="16"/>
  <c r="G9"/>
  <c r="G25"/>
  <c r="G15"/>
  <c r="G14"/>
  <c r="G13"/>
  <c r="G22"/>
  <c r="G21"/>
  <c r="G20"/>
  <c r="G19"/>
  <c r="G18"/>
  <c r="G10"/>
  <c r="E9" i="8" l="1"/>
  <c r="F9" s="1"/>
  <c r="E47" i="19"/>
  <c r="F40" i="17"/>
  <c r="F41" s="1"/>
  <c r="F42" s="1"/>
  <c r="G44" s="1"/>
  <c r="E8" i="8"/>
  <c r="G16" i="16"/>
  <c r="G40"/>
  <c r="G39"/>
  <c r="G36"/>
  <c r="G37" s="1"/>
  <c r="G33"/>
  <c r="G32"/>
  <c r="G31"/>
  <c r="G30"/>
  <c r="G26"/>
  <c r="G7"/>
  <c r="G34" l="1"/>
  <c r="E45" i="17"/>
  <c r="E7" i="8"/>
  <c r="G42" i="16"/>
  <c r="G8"/>
  <c r="G11" s="1"/>
  <c r="G27"/>
  <c r="G23"/>
  <c r="E38" i="15"/>
  <c r="G38" s="1"/>
  <c r="G37"/>
  <c r="E36"/>
  <c r="G36" s="1"/>
  <c r="G33"/>
  <c r="G34" s="1"/>
  <c r="G28"/>
  <c r="G27"/>
  <c r="G39" l="1"/>
  <c r="F43" i="16"/>
  <c r="F44" s="1"/>
  <c r="F45" s="1"/>
  <c r="G47" s="1"/>
  <c r="E9" i="15"/>
  <c r="G9" s="1"/>
  <c r="E8"/>
  <c r="G8" s="1"/>
  <c r="E7"/>
  <c r="G7" s="1"/>
  <c r="G30"/>
  <c r="G29"/>
  <c r="G26"/>
  <c r="G24"/>
  <c r="G21"/>
  <c r="G19"/>
  <c r="G16"/>
  <c r="G15"/>
  <c r="G14"/>
  <c r="G13"/>
  <c r="G10"/>
  <c r="E48" i="16" l="1"/>
  <c r="E4" i="8"/>
  <c r="G31" i="15"/>
  <c r="G17"/>
  <c r="G20"/>
  <c r="G22" s="1"/>
  <c r="G11"/>
  <c r="F40" l="1"/>
  <c r="F41" s="1"/>
  <c r="F42" s="1"/>
  <c r="G44" s="1"/>
  <c r="E20" i="14"/>
  <c r="G20" s="1"/>
  <c r="G16"/>
  <c r="G9"/>
  <c r="G8"/>
  <c r="G7"/>
  <c r="G37"/>
  <c r="G36"/>
  <c r="G35"/>
  <c r="G33"/>
  <c r="G22"/>
  <c r="G17"/>
  <c r="G15"/>
  <c r="G13"/>
  <c r="G10"/>
  <c r="E45" i="15" l="1"/>
  <c r="E5" i="8"/>
  <c r="G38" i="14"/>
  <c r="G23"/>
  <c r="G18"/>
  <c r="G11"/>
  <c r="F39" l="1"/>
  <c r="F40" s="1"/>
  <c r="F41" s="1"/>
  <c r="G43" s="1"/>
  <c r="E6" i="8" l="1"/>
  <c r="E44" i="14"/>
  <c r="D17" i="8" l="1"/>
  <c r="F12" l="1"/>
  <c r="F6"/>
  <c r="F16"/>
  <c r="F13"/>
  <c r="F14" l="1"/>
  <c r="F8" l="1"/>
  <c r="F11"/>
  <c r="F7"/>
  <c r="F5" l="1"/>
  <c r="F10"/>
  <c r="E17" l="1"/>
  <c r="E21" s="1"/>
  <c r="F4" l="1"/>
  <c r="E23"/>
  <c r="F21" s="1"/>
</calcChain>
</file>

<file path=xl/sharedStrings.xml><?xml version="1.0" encoding="utf-8"?>
<sst xmlns="http://schemas.openxmlformats.org/spreadsheetml/2006/main" count="1546" uniqueCount="443">
  <si>
    <t>Lp,</t>
  </si>
  <si>
    <t>Podstawa</t>
  </si>
  <si>
    <t>Opis</t>
  </si>
  <si>
    <t>Jedn.
obm,</t>
  </si>
  <si>
    <t>Ilość</t>
  </si>
  <si>
    <t>Cena jedn.</t>
  </si>
  <si>
    <t>Wartość</t>
  </si>
  <si>
    <t>1 d.1</t>
  </si>
  <si>
    <t>2 d.1</t>
  </si>
  <si>
    <t>KNNR 1 0113-01</t>
  </si>
  <si>
    <t>m2</t>
  </si>
  <si>
    <t>m3</t>
  </si>
  <si>
    <t>Nawierzchnia bitumiczna</t>
  </si>
  <si>
    <t>KNNR 6 0308-03</t>
  </si>
  <si>
    <t>t</t>
  </si>
  <si>
    <t>KNNR 6 0308-02</t>
  </si>
  <si>
    <t>Razem dział: Nawierzchnia bitumiczna</t>
  </si>
  <si>
    <t>Prace wykończeniowe</t>
  </si>
  <si>
    <t>KNNR 6 0204-04</t>
  </si>
  <si>
    <t>Razem dział: Prace wykończeniowe</t>
  </si>
  <si>
    <t>Ogółem wartość kosztorysowa robót netto</t>
  </si>
  <si>
    <t xml:space="preserve">Podatek VAT 23 %  </t>
  </si>
  <si>
    <t>Razem dział: przepusty pod koroną drogi</t>
  </si>
  <si>
    <t>Przepusty pod koroną drogi</t>
  </si>
  <si>
    <t>murki czołowe proste z betonu C25/30 z kapinosem: 4 szt x 1,0 m3</t>
  </si>
  <si>
    <t>4 d.2</t>
  </si>
  <si>
    <t>Poszerzenie podbudowy</t>
  </si>
  <si>
    <t>Zasypanie wykopu wraz z zagęszczeniem - grunt G1 z dowozu: 4 m3</t>
  </si>
  <si>
    <t>Lp</t>
  </si>
  <si>
    <t>nr drogi
lub
nr działki</t>
  </si>
  <si>
    <t>nazwa drogi</t>
  </si>
  <si>
    <t>długość
[km]</t>
  </si>
  <si>
    <t>wartość
inwestycji
brutto</t>
  </si>
  <si>
    <t>uwagi
zł / km</t>
  </si>
  <si>
    <t>R A Z E M</t>
  </si>
  <si>
    <t>w tym:</t>
  </si>
  <si>
    <t xml:space="preserve"> - środki własne</t>
  </si>
  <si>
    <t>mb</t>
  </si>
  <si>
    <t>3 d.1</t>
  </si>
  <si>
    <t>5 d.1</t>
  </si>
  <si>
    <t>KNNR 4 1414-05</t>
  </si>
  <si>
    <t>stud.</t>
  </si>
  <si>
    <t>m</t>
  </si>
  <si>
    <t>KNNR 6 0403-03</t>
  </si>
  <si>
    <t>KNR 2-31 0402-04</t>
  </si>
  <si>
    <t>Chodniki dla pieszych</t>
  </si>
  <si>
    <t>Razem dział: chodniki dla pieszych</t>
  </si>
  <si>
    <t>KNNR 6 0502-02</t>
  </si>
  <si>
    <t>Chodniki z kostki brukowej betonowej grubości 6 cm na podsypce cementowo-piaskowej z wypełnieniem spoin piaskiem</t>
  </si>
  <si>
    <t>KNNR 6 0502-03</t>
  </si>
  <si>
    <t>KNNR 6 0309-02</t>
  </si>
  <si>
    <t xml:space="preserve"> - dotacja z budżetu państwa wg promesy</t>
  </si>
  <si>
    <t>analiza własna</t>
  </si>
  <si>
    <t>5 d.2</t>
  </si>
  <si>
    <t>7 d.3</t>
  </si>
  <si>
    <t>8 d.3</t>
  </si>
  <si>
    <t>6 d.2</t>
  </si>
  <si>
    <t>11 d.5</t>
  </si>
  <si>
    <t>KNNR 1 0202-08</t>
  </si>
  <si>
    <t>4 d.1</t>
  </si>
  <si>
    <t>7 d.2</t>
  </si>
  <si>
    <t>8 d.2</t>
  </si>
  <si>
    <t>9 d.2</t>
  </si>
  <si>
    <t>10 d.3</t>
  </si>
  <si>
    <t>11 d.3</t>
  </si>
  <si>
    <t>12 d.4</t>
  </si>
  <si>
    <t>KNNR 6 0702-03</t>
  </si>
  <si>
    <t xml:space="preserve">Słupki do znaków drogowych pionowych - rury stalowe ocynkowane o śr. zwen. 58 mm </t>
  </si>
  <si>
    <t>szt</t>
  </si>
  <si>
    <t>13 d.4</t>
  </si>
  <si>
    <t>KNNR 6 0702-05</t>
  </si>
  <si>
    <t>14 d.4</t>
  </si>
  <si>
    <t>KNNR 1 0214-07</t>
  </si>
  <si>
    <t>12 d.3</t>
  </si>
  <si>
    <t>15 d.4</t>
  </si>
  <si>
    <t>Analiza własna</t>
  </si>
  <si>
    <t>KNNR 6
0113-04</t>
  </si>
  <si>
    <t>15 d.5</t>
  </si>
  <si>
    <t>16 d.5</t>
  </si>
  <si>
    <t>17 d.5</t>
  </si>
  <si>
    <t>9 d.3</t>
  </si>
  <si>
    <t>KNNR 6 0108-02</t>
  </si>
  <si>
    <t>16 d.4</t>
  </si>
  <si>
    <t>17 d.4</t>
  </si>
  <si>
    <t>Razem dział: poszerzenie podbudowy</t>
  </si>
  <si>
    <t>KNR 2-33
0606-01</t>
  </si>
  <si>
    <t>13 d.5</t>
  </si>
  <si>
    <t>18 d.4</t>
  </si>
  <si>
    <t>23 d.5</t>
  </si>
  <si>
    <t>14 d.5</t>
  </si>
  <si>
    <t>22 d.5</t>
  </si>
  <si>
    <t>Wykonanie kanału technologicznego wraz z studniami rewizyjnymi w odstępach średnio co 200 m. Kanał: rura o śr. 110 mm, wewnątrz 3 x HDPE fi 40 mm o wyróżnikach kolorowych, studnie rewizyjne SK2 - 2 szt</t>
  </si>
  <si>
    <t>Roboty pomiarowe  - wyznaczenie elemetów drogi w terenie równinnym</t>
  </si>
  <si>
    <t>km</t>
  </si>
  <si>
    <t>murki czołowe proste z betonu C25/30 z kapinosem: 12 szt x 1,0 m3</t>
  </si>
  <si>
    <t>Nawierzchnie z mieszanek mineralno-bitumicznych asfaltowych o grubości 4 cm (warstwa ścieralna KR 1-2) - jezdnia,  zjazd publ.: 
7166 + 90 = 7256 m2</t>
  </si>
  <si>
    <t>W-wa profilowa z masy min.-asfaltowej KR 1-2:  w-wa o śr. grub. 2,5 cm :  
(7166 + 2822 x 0,05) x 0,025 x 2,5 t/m3 = 456,7 t,
w-wa profilowo-wiążąca na słabszych fragmentach jezdni i zjazd publ. o śr. gr. 4 cm: (500mb x 5,1859m + 92,4 m2) x 0,04 x 2,5 t/m3 = 268,5 t</t>
  </si>
  <si>
    <t>Tarcze znaków drogowych "średnich" , folia odblaskowa 3M II generacji: 
A-7 - 1 szt, B-20 - 1 szt</t>
  </si>
  <si>
    <t xml:space="preserve"> zł/km</t>
  </si>
  <si>
    <t>Roboty ziemne wykonywane koparkami podsiębiernymi o poj,łyżki 0,60 m3 w gr,kat, III-IV z transp,urobku na odl,do 1 km sam,samowyład:  
- koryto pod poszerzenie: (1583m2 + 3734,2mbx0,30)x 0,40 = 841,3 m3
- koryto pod zjazdy publiczne: 4x105,8 x 0,30 = 127,0 m3</t>
  </si>
  <si>
    <t>Wykonanie stabilizacji podłoża cementem gr. 25 cm  o Rm = 2,50 Mpa 
(z betoniarki) - poszerzenie: 1583 m2, opaska szer 30 cm: 1120,3 m2, zjazdy publiczne: 423,2 m2</t>
  </si>
  <si>
    <t>Wykonanie górnej w-wy podbudowy o gr. 8 cm  z mieszanki kruszywa łamanego  0-31,5 mm: 1583+1120,3+423,2 = 3126,5 m2</t>
  </si>
  <si>
    <t>W-wa profilowa z masy min.-asfaltowej KR 1-2:  w-wa o śr. grub. 2,5 cm :  
8646 m2 x 0,025 x 2,5 t/m3 = 540,4 t,
w-wa profilowo-wiążąca na słabszych fragmentach jezdni i zjazd publ. o śr. gr. 4 cm: (500mb x 5,1859m + 92,4 m2) x 0,04 x 2,5 t/m3 = 268,5 t</t>
  </si>
  <si>
    <t>Nawierzchnie z mieszanek mineralno-bitumicznych asfaltowych o grubości 4 cm (warstwa ścieralna KR 1-2) - jezdnia,  zjazd publ.: 
10229 + 4 x 90,7 = 10592 m2</t>
  </si>
  <si>
    <t>Przygotowanie poboczy gruntowych poprzez wykonanie koryta o gł. 8 cm na szerokości 0,30 m i wyprofilowanie oraz nadanie odpowiedniego spadku na pozostałej gruntowej części poboczy: 3934,2 mb</t>
  </si>
  <si>
    <t>Umocnienie poboczy na szerokości 0,30 m warstwą  mieszanki kruszyw łamanych 0-31,5 mm, gr. śr. w-wy 8 cm: 3934,2 x 0,30 =  1180,3 m2</t>
  </si>
  <si>
    <t>Tarcze znaków drogowych "średnich" , folia odblaskowa 3M II generacji: 
A-7 - 1 szt, B-20 - 1 szt, D-1 - 2 szt</t>
  </si>
  <si>
    <t>Uszczelnienie styków  rur żelbetowych fi 60-80 cm za pomocą opaski betonowej  o szer. 0,30 cm i wysokości 10 cm na siatce rabica  (odkopanie styku założenie opaski, zasypanie wykopu z zagęszczeniem - 8 szt (rury skrajne)</t>
  </si>
  <si>
    <t>Wymiana części przelotowej z rur żelbetowych fi 60 cm z wykonaniem ław o gr. 25 cm z kruszywa (rury końcowe)  - 2 mb</t>
  </si>
  <si>
    <t xml:space="preserve"> </t>
  </si>
  <si>
    <t xml:space="preserve"> Demontaż stalowej bariery energochłonnej - 2 odcinki - 74 mb</t>
  </si>
  <si>
    <t>Odmulenie rowuprzydrożnego na śr. gł. 30 cm  z korektą pochyleń skarp i niwelety rowu oraz odwozem urobku na odl. do 3 km: rów lewy - 1755 mb, rów prawy - 245 mb</t>
  </si>
  <si>
    <t>Rowy przydrożne - odmulenie</t>
  </si>
  <si>
    <t>11 d.4</t>
  </si>
  <si>
    <t>18 d.6</t>
  </si>
  <si>
    <t>Przebudowa zjazdów indywidualnych - korekta wysokościowa części przelotowej pod zjazdem  -  nowa rura PE lub PCV o sztywności obwodowej SN8, średnica 40 cm, 6 mb x 25 szt, = 150 mb</t>
  </si>
  <si>
    <t>Przebudowa zjazdów indywidualnych - korekta wysokościowa nawierzchni zjazdu - wykonanie koryta i nowa konstrukcja nawierzchni z kruszywa: w-wa o gr. 25 cm z mieszanki kruszywa łamanego 0-63 mm w ilości śr. 20 m2 na zjazd - 40 złazdów</t>
  </si>
  <si>
    <t>19 d.6</t>
  </si>
  <si>
    <t>Zjazdy indywidualne - dostosowanie do projektowanej krawędzi jezdni</t>
  </si>
  <si>
    <t>Razem dział: Rowy przydrożne - odmulenie</t>
  </si>
  <si>
    <t>Razem dział: Zjazdy indywidualne</t>
  </si>
  <si>
    <t>20 d.6</t>
  </si>
  <si>
    <t>Przebudowa zjazdów indywidualnych - korekta wysokościowa nawierzchni zjazdu - przebudowa istn nawierzchni z kostki z uzupełnieniem podsypki cementowo-piaskowej: średnio 15 m2 na zjazd - 17 zjazdów</t>
  </si>
  <si>
    <t>Ustawienie nowej stalowej bariery energochłonnej - 2 odcinki, 4 zakończenia, skosy na 8 m - 78 mb (elementy łukowe)</t>
  </si>
  <si>
    <t>Stary Dzików - do oczyszczalni</t>
  </si>
  <si>
    <t xml:space="preserve">Roboty ziemne </t>
  </si>
  <si>
    <t>Razem dział: roboty ziemne</t>
  </si>
  <si>
    <t>Podbudowa</t>
  </si>
  <si>
    <t>Usunięcie warstwy ziemi urodzajnej (humusu) o grubości do 20 cm za pomocą koparek poza obręn robót ziemnych: (330+120)x7,00 + 400x4,50 =4950 m2</t>
  </si>
  <si>
    <t>Wykonanie nasypu z gruntu o parametrach G1 lub G2 zakupionego i dostarczonego na budowę na koszt wykonawcy: 
450 x 5,50 x 0,50 = 1237,5 m3</t>
  </si>
  <si>
    <t>rozprężenie istn. utwardzenia z kruszywa łamanego o grubości 25 cm za pomocą zrywala równiarki: 400 x 3,50 = 1400 m2</t>
  </si>
  <si>
    <t>Załadunek, transport po budowie i wbudowanie części kruszywa z rozbiórki - doziarnienie na całej powierzchni pod stabilizację:
55% x 400 mb x 0,25 = 192,5 m3 (433 t)</t>
  </si>
  <si>
    <t>przemieszczenie równiarką zerwanego kruszywa - dostosowanie do wymaganych spadków poprzecznych i optymalnego profilu podłużnego: 4787,5 m2</t>
  </si>
  <si>
    <t>Wykonanie stabilizacji podłoża cementem gr. 25 cm  o Rm = 2,50 Mpa
"w korycie" pod jezdnię , mijanki i zjazdy publiczne: 4787,5 m2</t>
  </si>
  <si>
    <t>Wykonanie górnej w-wy podbudowy o gr. 8 cm  z mieszanki kruszywa łamanego  0-31,5 mm: 4787,5 m2</t>
  </si>
  <si>
    <r>
      <t xml:space="preserve">Część przelotowa przepustu pod koroną drogi z rur </t>
    </r>
    <r>
      <rPr>
        <sz val="11"/>
        <rFont val="Calibri"/>
        <family val="2"/>
        <charset val="238"/>
      </rPr>
      <t>ø</t>
    </r>
    <r>
      <rPr>
        <sz val="12.65"/>
        <rFont val="Arial Narrow"/>
        <family val="2"/>
        <charset val="238"/>
      </rPr>
      <t xml:space="preserve">60 cm </t>
    </r>
    <r>
      <rPr>
        <sz val="11"/>
        <rFont val="Arial Narrow"/>
        <family val="2"/>
        <charset val="238"/>
      </rPr>
      <t>z blachy falistej typu Hel-Cor na ławie z kruszywa łamanego o gr. 25 cm, zakończenia proste: 9 mb</t>
    </r>
  </si>
  <si>
    <t>murki czołowe proste z betonu C25/30 z kapinosem: 2 szt x 1,0 m3</t>
  </si>
  <si>
    <t>Zasypanie wykopu wraz z zagęszczeniem - grunt G1 z dowozu: 9 mb x 4 m3/mb = 36 m3</t>
  </si>
  <si>
    <t>Nawierzchnie z mieszanek mineralno-bitumicznych asfaltowych o grubości 5 cm (warstwa wiążąca KR 1-2) - jezdnia, mijanki i zjazdy publ.: 
3558,2 m2 + 1858,0 mb x 0,05 m = 3651,1 m2</t>
  </si>
  <si>
    <t>Nawierzchnie z mieszanek mineralno-bitumicznych asfaltowych o grubości 4 cm (warstwa ścieralna KR 1-2) - jezdnia,  mijanki i zjazd publ: 3558,2m2</t>
  </si>
  <si>
    <t>Razem dział: przepusty pod korona drogi</t>
  </si>
  <si>
    <t>Razem dział: podbudowa</t>
  </si>
  <si>
    <t>Profilowanie i zagęszczenie podłoża pod w-wy konstrukcyjne podbubowy: pod jezdnie, mijanki i zjazdy publiczne: 4787,5 m2</t>
  </si>
  <si>
    <t>Tarcze znaków drogowych "średnich" , folia odblaskowa 3M II generacji: 
A-7 - 2 szt, D-1 - 4 szt</t>
  </si>
  <si>
    <t>Przygotowanie poboczy gruntowych poprzez wykonanie koryta o gł. 8 cm na szerokości 0,30 - 0,75 m i wyprofilowanie oraz nadanie odpowiedniego spadku na pozostałej gruntowej części poboczy: 1804 mb</t>
  </si>
  <si>
    <t>Umocnienie poboczy na szerokości 0,30 -0,75 m warstwą  mieszanki kruszyw łamanych 0-31,5 mm, gr. śr. w-wy 8 cm: 1229,3 m2</t>
  </si>
  <si>
    <t>Rowy przydrożne - odmulenie lub odtworzenie</t>
  </si>
  <si>
    <t>Razem dział: Rowy przydrożne</t>
  </si>
  <si>
    <t>Odmulenie rowu przydrożnego na śr. gł. 40 cm  oraz przemieszczenie wcześniej odłożonego humusu - ostateczne uformowanie korpusu drogi oraz rowów przydrożnych: 1050 mb x 0,45 m3/mb + 4950 x 20 x 80% = 1264,5 m3</t>
  </si>
  <si>
    <t>Część przelotowej pod zjazdem  -  rura PE lub PCV o sztywności obwodowej SN8, średnica 40 cm, 6 mb x 19 szt, = 114 mb</t>
  </si>
  <si>
    <t xml:space="preserve">Obsypanie rury, wykonanie koryta, profilowanie i zagęszczenie podłoża  oraz nowa konstrukcja nawierzchni z kruszywa: w-wa o gr. 25 cm z mieszanki kruszywa łamanego 0-63 mm w ilości: 25 szt x 20 m2 = 500 m2 </t>
  </si>
  <si>
    <t>Zjazdy indywidualne - nawierzchnia z kruszywa</t>
  </si>
  <si>
    <t>Uformowanie poboczy gruntowych o szer. 0,75 cm z wyprofilowaniem oraz nadanie odpowiedniego spadku : 25 szt x 2 x 5,00 = 250 mb</t>
  </si>
  <si>
    <t>Nowy Dzików przez wieś</t>
  </si>
  <si>
    <t>Cewków - Kąt północny</t>
  </si>
  <si>
    <t>Roboty ziemne wykonywane koparkami podsiębiernymi o poj,łyżki 0,60 m3 w gr,kat, III-IV z transp,urobku na odl,do 1 km sam,samowyład:  
- koryto pod poszerzenie: (209 m2 +  2822 mb x 0,30)x 0,40  =422,2 m3
- koryto pod zjazdy publiczne: 90 x 0,30 = 27,0 m3</t>
  </si>
  <si>
    <t>Wykonanie stabilizacji podłoża cementem gr. 25 cm  o Rm = 2,50 Mpa 
(z betoniarki)  - poszerzenia podbudowy o szer. 0,40m: 2822x0,30 = 846,6 m2, poszerzenie na łukach: 209  m2, zjazd publiczny: 102,2 m2</t>
  </si>
  <si>
    <t>Wykonanie górnej w-wy podbudowy o gr. 8 cm  z mieszanki kruszywa łamanego  0-31,5 mm: 846,6+209,0+97,4 =1153,0 m2</t>
  </si>
  <si>
    <t>Przygotowanie poboczy gruntowych poprzez wykonanie koryta o gł. 8 cm na szerokości 0,30 m i wyprofilowanie oraz nadanie odpowiedniego spadku na pozostałej gruntowej części poboczy: 2 x 1411 = 2822 mb</t>
  </si>
  <si>
    <t>Ulepszenie poboczy na szerokości 0,30 m warstwą  mieszanki kruszyw łamanych 0-31,5 mm, gr. śr. w-wy 8 cm: 1411 x 2 x 0,30 =  846,6 m2</t>
  </si>
  <si>
    <t>Cewków - ogrody</t>
  </si>
  <si>
    <t>Ułazów - Parachówka</t>
  </si>
  <si>
    <t>Stary Dzików - Wola (ul. Sobieskiego)</t>
  </si>
  <si>
    <t>Stary Dzików - łącznik k. cmentarza</t>
  </si>
  <si>
    <t>Moszczanica - do Kantora</t>
  </si>
  <si>
    <t>Moszczanica - do Pokrywki</t>
  </si>
  <si>
    <t>Stary Dzików - ul. Szafera</t>
  </si>
  <si>
    <t>Stary Dzików, uk. Kopernika i przyległa</t>
  </si>
  <si>
    <t>Nowy Dzików - Ułazów</t>
  </si>
  <si>
    <t>Roboty ziemne wykonywane koparkami podsiębiernymi o poj,łyżki 0,60 m3 w gr,kat, III-IV z transp,urobku na odl,do 1 km sam,samowyład:  
- koryto pod poszerzenie: (404 m2 +  1082)x 0,38  = 601 m3
- koryto pod zjazdy publiczne: 110 x 0,30 =33,0 m3</t>
  </si>
  <si>
    <t>Wykonanie stabilizacji podłoża cementem gr. 25 cm  o Rm = 2,50 Mpa 
(z betoniarki)  - poszerzenia na łukach i korekta trasy: 404 m2, opaska 0,75 cm: 1082  m2, zjazdy publiczne: 110 m2</t>
  </si>
  <si>
    <t>Wykonanie górnej w-wy podbudowy o gr. 8 cm  z mieszanki kruszywa łamanego  0-31,5 mm: 1596 m2</t>
  </si>
  <si>
    <t>Dobudowa części przelotowej z rur żelbetowych fi 60 cm z wykonaniem ław o gr. 25 cm z kruszywa (rury końcowe)  - 6 mb</t>
  </si>
  <si>
    <t>Uszczelnienie styków  rur żelbetowych fi 60-80 cm za pomocą opaski betonowej  o szer. 0,30 cm i wysokości 10 cm na siatce rabica  (odkopanie styku założenie opaski, zasypanie wykopu z zagęszczeniem - 18 szt</t>
  </si>
  <si>
    <t>murki czołowe proste z betonu C25/30 z kapinosem: 9 szt x 1,0 m3</t>
  </si>
  <si>
    <t>Zasypanie wykopu wraz z zagęszczeniem - grunt G1 z dowozu: 24 m3</t>
  </si>
  <si>
    <t>Profilowanie i zagęszczenie podłoża pod w-wy konstrukcyjne podbubowy: pod jezdnie, mijanki i zjazdy publiczne: 1596 m2</t>
  </si>
  <si>
    <t>Nawierzchnie z mieszanek mineralno-bitumicznych asfaltowych o grubości 4 cm (warstwa ścieralna KR 1-2) - jezdnia,  zjazd publ.: 
3779 + 247 = 4026 m2</t>
  </si>
  <si>
    <t>Przygotowanie poboczy gruntowych poprzez wykonanie koryta o gł. 8 cm na szerokości 0,75 m i wyprofilowanie oraz nadanie odpowiedniego spadku na pozostałej gruntowej części poboczy: 1818 mb</t>
  </si>
  <si>
    <t>Ulepszenie poboczy na szerokości 0,75 m warstwą  mieszanki kruszyw łamanych 0-31,5 mm, gr. śr. w-wy 8 cm: 1818 x 0,75 = 1364 m2</t>
  </si>
  <si>
    <t>Ustawienie nowej stalowej bariery energochłonnej - 4 odcinki, 8 zakończeń, skosy na 8 m - 78 mb (w tym 20 m to elementy łukowe)</t>
  </si>
  <si>
    <t xml:space="preserve"> Demontaż stalowej bariery energochłonnej - 4 odcinki - 64 mb</t>
  </si>
  <si>
    <t>Odmulenie rowuprzydrożnego na śr. gł. 30 cm  z korektą pochyleń skarp i niwelety rowu oraz odwozem urobku na odl. do 3 km: rów lewy - 800 mb, rów prawy -200 mb</t>
  </si>
  <si>
    <t>Przebudowa zjazdów indywidualnych - korekta wysokościowa części przelotowej pod zjazdem  -  nowa rura PE lub PCV o sztywności obwodowej SN8, średnica 40 cm, 6 mb x 14 szt, = 84 mb</t>
  </si>
  <si>
    <t>Przebudowa zjazdów indywidualnych - korekta wysokościowa nawierzchni zjazdu - wykonanie koryta i nowa konstrukcja nawierzchni z kruszywa: w-wa o gr. 25 cm z mieszanki kruszywa łamanego 0-63 mm w ilości śr. 20 m2 na zjazd -21 złazdów</t>
  </si>
  <si>
    <t>Przebudowa zjazdów indywidualnych - korekta wysokościowa nawierzchni zjazdu - przebudowa istn nawierzchni z kostki z uzupełnieniem podsypki cementowo-piaskowej: 235 m2</t>
  </si>
  <si>
    <t>Ułazów - Obsza etap I</t>
  </si>
  <si>
    <t>Usunięcie warstwy ziemi urodzajnej (humusu) o grubości do 20 cm za pomocą koparek poza obręn robót ziemnych: 2725 + 2249x1,5 = 6098,5 m2</t>
  </si>
  <si>
    <t>Roboty ziemne wykonywane koparkami podsiębiernymi o poj,łyżki 0,60 m3 w gr,kat, III-IV z transp,urobku na odl,do 1 km sam,samowyład:  
- koryto pod poszerzenie: (1435 m2 + 2249 mb x 0,75 - 396,5)x 0,20  = 545,0 m3
- koryto pod zjazdy publiczne: 110 x 0,20 =22,0 m3</t>
  </si>
  <si>
    <t>Wykonanie nasypu z gruntu o parametrach G1 lub G2 zakupionego i dostarczonego na budowę na koszt wykonawcy: 880 m3</t>
  </si>
  <si>
    <t>Profilowanie i zagęszczenie podłoża pod w-wy konstrukcyjne podbubowy: pod jezdnie, opaskę i zjazdy publiczne: 1435 + 1290 + 110 = 2835 m2</t>
  </si>
  <si>
    <t>Wykonanie stabilizacji podłoża cementem gr. 25 cm  o Rm = 2,50 Mpa 
(z betoniarki)  - poszerzenia na łukach i korekta trasy: 1435 m2, opaska 0,75 cm: 1290  m2, zjazdy publiczne: 110 m2</t>
  </si>
  <si>
    <t>Wykonanie górnej w-wy podbudowy o gr. 8 cm  z mieszanki kruszywa łamanego  0-31,5 mm: 2835 m2</t>
  </si>
  <si>
    <t>murki czołowe proste z betonu C25/30 z kapinosem: 8 szt x 1,0 m3</t>
  </si>
  <si>
    <t>Zasypanie wykopu wraz z zagęszczeniem - grunt G1 z dowozu: 93 m3</t>
  </si>
  <si>
    <t>W-wa profilowa z masy min.-asfaltowej KR 1-2:  w-wa o śr. grub. 2,0cm :  
jezdnia: 2665m2 x 0,02 x 2,5 t/m3 = 133,2 t,</t>
  </si>
  <si>
    <t>Nawierzchnie z mieszanek mineralno-bitumicznych asfaltowych o grubości 5 cm (warstwa wiążąca KR 1-2) - jezdnia, mijanki i zjazdy publ.: 
1512,3 + 92,7 = 1605 m2</t>
  </si>
  <si>
    <t>Nawierzchnie z mieszanek mineralno-bitumicznych asfaltowych o grubości 4 cm (warstwa ścieralna KR 1-2) - jezdnia,  zjazd publ.: 
4075 + 90 = 4165 m2</t>
  </si>
  <si>
    <t xml:space="preserve">Odmulenie rowuprzydrożnego na śr. gł. 30 cm  z korektą pochyleń skarp i niwelety rowu oraz odwozem urobku na odl. do 3 km: rów lewy - 800 mb, </t>
  </si>
  <si>
    <t>Przebudowa zjazdów indywidualnych - korekta wysokościowa części przelotowej pod zjazdem  -  nowa rura PE lub PCV o sztywności obwodowej SN8, średnica 40 cm, 6 mb x 7 szt, = 42 mb</t>
  </si>
  <si>
    <t>Przebudowa zjazdów indywidualnych - korekta wysokościowa nawierzchni zjazdu - przebudowa istn nawierzchni z kostki z uzupełnieniem podsypki cementowo-piaskowej: 20 m2</t>
  </si>
  <si>
    <t>Przygotowanie poboczy gruntowych poprzez wykonanie koryta o gł. 8 cm na szerokości 0,75 m i wyprofilowanie oraz nadanie odpowiedniego spadku na pozostałej gruntowej części poboczy: 2249 mb</t>
  </si>
  <si>
    <t>Ulepszenie poboczy na szerokości 0,75 m warstwą  mieszanki kruszyw łamanych 0-31,5 mm, gr. śr. w-wy 8 cm: 2249 x 0,75 = 1687m2</t>
  </si>
  <si>
    <t xml:space="preserve"> Demontaż stalowej bariery energochłonnej - 4  mb</t>
  </si>
  <si>
    <t>Ustawienie nowej stalowej bariery energochłonnej - 4 odcinki, 8 zakończeń, skosy na 8 m - 200 mb (w tym 20 m to elementy łukowe)</t>
  </si>
  <si>
    <t>Usunięcie warstwy ziemi urodzajnej (humusu) o grubości do 20 cm za pomocą koparek poza obręn robót ziemnych: 1503,0 m2</t>
  </si>
  <si>
    <t>Roboty ziemne wykonywane koparkami podsiębiernymi o poj,łyżki 0,60 m3 w gr,kat, III-IV z transp,urobku na odl,do 1 km sam,samowyład:  
- koryto pod poszerzenie: (785 m2 + 1084 mb x 0,30)x 0,20  = 220,0 m3
- koryto pod zjazdy publiczne: 220 x 0,20 =44,0 m3</t>
  </si>
  <si>
    <t>Wykonanie nasypu z gruntu o parametrach G1 lub G2 zakupionego i dostarczonego na budowę na koszt wykonawcy: 876 m3</t>
  </si>
  <si>
    <t>Przebudowa części przelotowej z rur PCV lub PE SN8 fi 60 cm z wykonaniem ław o gr. 25 cm z kruszywa  - 12 mb</t>
  </si>
  <si>
    <t>Uszczelnienie styków  rur żelbetowych fi 60-80 cm za pomocą opaski betonowej  o szer. 0,30 cm i wysokości 10 cm na siatce rabica  (odkopanie styku założenie opaski, zasypanie wykopu z zagęszczeniem - 4 szt</t>
  </si>
  <si>
    <t>Profilowanie i zagęszczenie podłoża pod w-wy konstrukcyjne podbubowy: pod jezdnie, opaskę i zjazdy publiczne: 785 + 314,4 + 220 = 1319,4 m2</t>
  </si>
  <si>
    <t>W-wa profilowa z masy min.-asfaltowej KR 1-2:  w-wa o śr. grub. 3,0cm :  
jezdnia:1794m2 x 0,03 x 2,5 t/m3 = 134,5 t,</t>
  </si>
  <si>
    <t>Nawierzchnie z mieszanek mineralno-bitumicznych asfaltowych o grubości 5 cm (warstwa wiążąca KR 1-2) - poszerzenie jezdni i zjazdy publ.: 
836 + 185,4 = 1021,4 m2</t>
  </si>
  <si>
    <t>Nawierzchnie z mieszanek mineralno-bitumicznych asfaltowych o grubości 4 cm (warstwa ścieralna KR 1-2) - jezdnia,  zjazd publ.: 
2579 + 180 = 2759 m2</t>
  </si>
  <si>
    <t xml:space="preserve">Odmulenie rowuprzydrożnego na śr. gł. 30 cm  z korektą pochyleń skarp i niwelety rowu oraz odwozem urobku na odl. do 3 km: rów lewy i prawy - 960 mb, </t>
  </si>
  <si>
    <t>Przebudowa zjazdów indywidualnych - korekta wysokościowa części przelotowej pod zjazdem  -  nowa rura PE lub PCV o sztywności obwodowej SN8, średnica 40 cm, 12 mb x 2 szt, = 24 mb</t>
  </si>
  <si>
    <t>Przebudowa zjazdów indywidualnych - korekta wysokościowa nawierzchni zjazdu - wykonanie koryta i nowa konstrukcja nawierzchni z kruszywa: w-wa o gr. 25 cm z mieszanki kruszywa łamanego 0-63 mm w ilości  40 m2</t>
  </si>
  <si>
    <t>Przygotowanie poboczy gruntowych poprzez wykonanie koryta o gł. 8 cm na szerokości 0,30 m i wyprofilowanie oraz nadanie odpowiedniego spadku na pozostałej gruntowej części poboczy: 1048 mb</t>
  </si>
  <si>
    <t>Ulepszenie poboczy na szerokości 0,30 m warstwą  mieszanki kruszyw łamanych 0-31,5 mm, gr. śr. w-wy 8 cm: 1048 x 0,30 = 314,4 m2</t>
  </si>
  <si>
    <t>Tarcze znaków drogowych "średnich" , folia odblaskowa 3M II generacji: 
A-12b - 1 szt, B-20 - 1 szt</t>
  </si>
  <si>
    <t>Przebudowa części przelotowej z rur PCV lub PE SN8 fi 80 cm z wykonaniem ław o gr. 25 cm z kruszywa  - 12 mb</t>
  </si>
  <si>
    <t>murki czołowe proste z betonu C25/30 z kapinosem: 2 szt x 2,0 m3</t>
  </si>
  <si>
    <t>Usunięcie warstwy ziemi urodzajnej (humusu) o grubości do 20 cm za pomocą koparek poza obręn robót ziemnych: 205 x 6,00 + 550 x 0,75 x 2 + 150 x 3,00 = 2505 m2</t>
  </si>
  <si>
    <t>Wykonanie nasypu z gruntu o parametrach G1 lub G2 zakupionego i dostarczonego na budowę na koszt wykonawcy: 200 m3</t>
  </si>
  <si>
    <t>Zasypanie wykopu wraz z zagęszczeniem - grunt G1 z dowozu: 36 m3</t>
  </si>
  <si>
    <t>Roboty ziemne wykonywane koparkami podsiębiernymi o poj,łyżki 0,60 m3 w gr,kat, III-IV z transp,urobku na odl,do 1 km sam,samowyład:  
- koryto pod poszerzenie: (433 + 668,1)x 0,20  = 220,2 m3</t>
  </si>
  <si>
    <t>Profilowanie i zagęszczenie podłoża pod w-wy konstrukcyjne podbubowy: pod jezdnie, opaskę: 1115 + 976 =2091 m2</t>
  </si>
  <si>
    <t>Wykonanie stabilizacji podłoża cementem gr. 25 cm  o Rm = 2,50 Mpa 
(w korycie)  - na całej szerokości jezdni i opaski na końcowym odcinku: 976 m2</t>
  </si>
  <si>
    <t>Wykonanie stabilizacji podłoża cementem gr. 25 cm  o Rm = 2,50 Mpa 
(z betoniarki)  - poszerzenia na łukach i korekta trasy oraz opaska: 1115 m2</t>
  </si>
  <si>
    <t>W-wa profilowa z masy min.-asfaltowej KR 1-2:  w-wa o śr. grub. 3,0cm :  
jezdnia: 1573 m2 x 0,03 x 2,5 t/m3 = 118,0 t,</t>
  </si>
  <si>
    <t>Nawierzchnie z mieszanek mineralno-bitumicznych asfaltowych o grubości 5 cm (warstwa wiążąca KR 1-2) -  poszerzenia i na całej szer. jezdni na końcowym odcinku 1278 m2</t>
  </si>
  <si>
    <t>Nawierzchnie z mieszanek mineralno-bitumicznych asfaltowych o grubości 4 cm (warstwa ścieralna KR 1-2) - jezdnia,  zjazd publ.: 2789 m2</t>
  </si>
  <si>
    <t xml:space="preserve">Odmulenie rowuprzydrożnego na śr. gł. 30 cm  z korektą pochyleń skarp i niwelety rowu oraz odwozem urobku na odl. do 3 km: rów lewy - 700 mb, </t>
  </si>
  <si>
    <t>Przygotowanie poboczy gruntowych poprzez wykonanie koryta o gł. 8 cm na szerokości 0,75 m i wyprofilowanie oraz nadanie odpowiedniego spadku na pozostałej gruntowej części poboczy:1450 mb</t>
  </si>
  <si>
    <t>Ulepszenie poboczy na szerokości 0,75 m warstwą  mieszanki kruszyw łamanych 0-31,5 mm, gr. śr. w-wy 8 cm: 1450 x 0,75 = 1087,5 m2</t>
  </si>
  <si>
    <t>Ustawienie nowej stalowej bariery energochłonnej - 2 odcinki, 4 zakończia, skosy na 8 m - 80 mb (w tym 20 m to elementy łukowe)</t>
  </si>
  <si>
    <t>Tarcze znaków drogowych "średnich" , folia odblaskowa 3M II generacji: 
 B-20 - 1 szt</t>
  </si>
  <si>
    <t>Przebudowa zjazdów indywidualnych - korekta wysokościowa części przelotowej pod zjazdem  -  nowa rura PE lub PCV o sztywności obwodowej SN8, średnica 40 cm, 6 mb x 4 szt, = 24 mb</t>
  </si>
  <si>
    <t>Przebudowa zjazdów indywidualnych - korekta wysokościowa nawierzchni zjazdu - przebudowa istn nawierzchni z kostki z uzupełnieniem podsypki cementowo-piaskowej: 40 m2</t>
  </si>
  <si>
    <t>Przebudowa zjazdów indywidualnych - korekta wysokościowa nawierzchni zjazdu - wykonanie koryta i nowa konstrukcja nawierzchni z kruszywa: w-wa o gr. 25 cm z mieszanki kruszywa łamanego 0-63 mm w ilości śr. 20 m2 na zjazd -30 złazdów</t>
  </si>
  <si>
    <t>Usunięcie warstwy ziemi urodzajnej (humusu) o grubości do 20 cm za pomocą koparek poza obręn robót ziemnych: 255 x 3,00 = 765 m2</t>
  </si>
  <si>
    <t>Roboty ziemne wykonywane koparkami podsiębiernymi o poj,łyżki 0,60 m3 w gr,kat, III-IV z transp,urobku na odl,do 1 km sam,samowyład:  
- koryto pod poszerzenie i pod krawężnik: 63 m2 x 0,30  + 255 x 0,30 x 0,30 = 42 m3</t>
  </si>
  <si>
    <t>Wykonanie nasypu z gruntu o parametrach G1 lub G2 zakupionego i dostarczonego na budowę na koszt wykonawcy: 637 m3</t>
  </si>
  <si>
    <t>Zasypanie wykopu wraz z zagęszczeniem - grunt G1 z dowozu: 72 m3</t>
  </si>
  <si>
    <t>Analogia - Studnie rewizyjne z kręgów betonowych i żelbetowych o śr. 1000 mm wykonywane metodą studniarską w gruncie kat.III - głębokość 1,5 m</t>
  </si>
  <si>
    <t>Profilowanie i zagęszczenie podłoża pod w-wy konstrukcyjne podbubowy: pod jezdnie, opaskę: 63 m2</t>
  </si>
  <si>
    <t>Wykonanie stabilizacji podłoża cementem gr. 25 cm  o Rm = 2,50 Mpa 
(z betoniarki)  - poszerzenia: 63 m2</t>
  </si>
  <si>
    <t>Wykonanie górnej w-wy podbudowy o gr. 8 cm  z mieszanki kruszywa łamanego  0-31,5 mm:  63 m2</t>
  </si>
  <si>
    <t>Nawierzchnie z mieszanek mineralno-bitumicznych asfaltowych o grubości 5 cm (warstwa wiążąca KR 1-2) -  poszerzenia: 63 m2</t>
  </si>
  <si>
    <t>W-wa profilowa z masy min.-asfaltowej KR 1-2:  w-wa o śr. grub. 3,0cm :  
jezdnia: 1177 m2 x 0,03 x 2,5 t/m3 =  88,3 t,
zjazdy publiczne: 162 m2 x 0,03 x 2,5 = 12,1 t</t>
  </si>
  <si>
    <t>Nawierzchnie z mieszanek mineralno-bitumicznych asfaltowych o grubości 4 cm (warstwa ścieralna KR 1-2) - jezdnia,  zjazd publ.: 1235+162=1397m2</t>
  </si>
  <si>
    <t>Odmulenie rowuprzydrożnego na śr. gł. 30 cm  z korektą pochyleń skarp i niwelety rowu oraz odwozem urobku na odl. do 3 km: rów lewy - 180 mb, rów prawy: 97 mb</t>
  </si>
  <si>
    <t>Przebudowa zjazdów indywidualnych - korekta wysokościowa części przelotowej pod zjazdem  -  nowa rura PE lub PCV o sztywności obwodowej SN8, średnica 40 cm, 6 mb x 2 szt, = 12 mb</t>
  </si>
  <si>
    <t>Przebudowa zjazdów indywidualnych - korekta wysokościowa nawierzchni zjazdu - wykonanie koryta i nowa konstrukcja nawierzchni z kruszywa: w-wa o gr. 25 cm z mieszanki kruszywa łamanego 0-63 mm w ilości śr. 20 m2 na zjazd -4 zjazdy</t>
  </si>
  <si>
    <t>Wykonanie stabilizacji podłoża cementem gr. 20 cm  o Rm = 2,50 Mpa 
"z betoniarki": 502 m2</t>
  </si>
  <si>
    <t>Dotatkowa objętość ławy pod obrzeże: 0,025 m3/mb: 0,025  x  262 =  6,6 m3</t>
  </si>
  <si>
    <t>Chodniki z kostki brukowej betonowej grubości 8 cm na podsypce cementowo-piaskowej z wypełnieniem spoin piaskiem, 4 zjazdy, 38 m2</t>
  </si>
  <si>
    <t>Krawężniki betonowe wystające o wymiarach 15x30 cm z wykonaniem ław betonowych na podsypce cementowo-piaskowej: wystające: 990 m, 
na zjazdach:  32 m</t>
  </si>
  <si>
    <t>Obrzeże betonowe wystające o wymiarach 6x20 cm z wykonaniem ław betonowych na podsypce cementowo-piaskowej:  300 m</t>
  </si>
  <si>
    <t>Wyprofilowanie oraz nadanie odpowiedniego spadku na poboczach gruntowych:1450 mb</t>
  </si>
  <si>
    <t>Ustawienie nowej stalowej bariery energochłonnej - 1 odcinki, 2 zakończenia, skosy na 8 m - 80 mb (w tym 20 m to elementy łukowe)</t>
  </si>
  <si>
    <t>Tarcze znaków drogowych "średnich" , folia odblaskowa 3M II generacji: 
 B-20 - 3 szt, A-7 - 1 szt, D-1 - 4 szt, D-2 - 2 szt</t>
  </si>
  <si>
    <t>Usunięcie warstwy ziemi urodzajnej (humusu) o grubości do 20 cm za pomocą koparek poza obręn robót ziemnych: 264 x 0,75 x 2 + 36 x 3,00 = 504 m2</t>
  </si>
  <si>
    <t>Wykonanie nasypu z gruntu o parametrach G1 lub G2 zakupionego i dostarczonego na budowę na koszt wykonawcy: 50 m3</t>
  </si>
  <si>
    <t>Przebudowa części przelotowej z rur PCV lub PE SN8 fi 60 cm z wykonaniem ław o gr. 25 cm z kruszywa  - 6 mb</t>
  </si>
  <si>
    <t>Zasypanie wykopu wraz z zagęszczeniem - grunt G1 z dowozu: 24m3</t>
  </si>
  <si>
    <t>W-wa profilowa z masy min.-asfaltowej KR 1-2:  w-wa o śr. grub. 3,0cm :  
jezdnia: 770 m2 x 0,03 x 2,5 t/m3 = 57,8 t,</t>
  </si>
  <si>
    <t xml:space="preserve">Odmulenie rowuprzydrożnego na śr. gł. 30 cm  z korektą pochyleń skarp i niwelety rowu oraz odwozem urobku na odl. do 3 km: rów lewy - 300 mb, </t>
  </si>
  <si>
    <t>Przebudowa zjazdów indywidualnych - korekta wysokościowa części przelotowej pod zjazdem  -  nowa rura PE lub PCV o sztywności obwodowej SN8, średnica 40 cm, 6 mb x 6 szt, = 36 mb</t>
  </si>
  <si>
    <t>Przygotowanie poboczy gruntowych poprzez wykonanie koryta o gł. 8 cm na szerokości 0,75 m i wyprofilowanie oraz nadanie odpowiedniego spadku na pozostałej gruntowej części poboczy: 600 mb</t>
  </si>
  <si>
    <t>Ulepszenie poboczy na szerokości 0,75 m warstwą  mieszanki kruszyw łamanych 0-31,5 mm, gr. śr. w-wy 8 cm: 510 x 0,75 = 382,5 m2</t>
  </si>
  <si>
    <t>Roboty ziemne wykonywane koparkami podsiębiernymi o poj,łyżki 0,60 m3 w gr,kat, III-IV z transp,urobku na odl,do 1 km sam,samowyład:  
- koryto pod poszerzenie: (284 + 300*2*0,75+80)x 0,20  = 162,8 m3</t>
  </si>
  <si>
    <t>Profilowanie i zagęszczenie podłoża pod w-wy konstrukcyjne podbubowy: pod jezdnie, opaskę: 284 + 300x0,75x2 +80 = 814 m2</t>
  </si>
  <si>
    <t>Wykonanie górnej w-wy podbudowy o gr. 8 cm  z mieszanki kruszywa łamanego  0-31,5 mm: 814 m2</t>
  </si>
  <si>
    <t>Nawierzchnie z mieszanek mineralno-bitumicznych asfaltowych o grubości 5 cm (warstwa wiążąca KR 1-2) -  poszerzenia i na całej szer. jezdni na końcowym odcinku 284 +78 = 362m2</t>
  </si>
  <si>
    <t>Nawierzchnie z mieszanek mineralno-bitumicznych asfaltowych o grubości 4 cm (warstwa ścieralna KR 1-2) - jezdnia,  zjazd publ.: 1055,6 +76 = 1131,6 m2</t>
  </si>
  <si>
    <t>Roboty ziemne wykonywane koparkami podsiębiernymi o poj,łyżki 0,60 m3 w gr,kat, III-IV z transp,urobku na odl,do 1 km sam,samowyład:  
- koryto pod poszerzenie: (11,5 + 338 x 0,75)x 0,30  = 79,5 m3</t>
  </si>
  <si>
    <t>Profilowanie i zagęszczenie podłoża pod w-wy konstrukcyjne podbubowy: pod jezdnie, opaskę: 11,5 + 338 x 0,75 = 265 m2</t>
  </si>
  <si>
    <t>Wykonanie stabilizacji podłoża cementem gr. 25 cm  o Rm = 2,50 Mpa 
(z betoniarki)  - poszerzenia na łukach i korekta trasy oraz opaska: 265 m2</t>
  </si>
  <si>
    <t>Wykonanie górnej w-wy podbudowy o gr. 8 cm  z mieszanki kruszywa łamanego  0-31,5 mm: 265 m2</t>
  </si>
  <si>
    <t>Nawierzchnie z mieszanek mineralno-bitumicznych asfaltowych o grubości 4 cm (warstwa ścieralna KR 1-2) - jezdnia,  zjazd publ.: 634 m2</t>
  </si>
  <si>
    <t>Przebudowa zjazdów indywidualnych - korekta wysokościowa części przelotowej pod zjazdem  -  nowa rura PE lub PCV o sztywności obwodowej SN8, średnica 40 cm, 6 mb x 1 szt, = 6 mb</t>
  </si>
  <si>
    <t>Przebudowa zjazdów indywidualnych - korekta wysokościowa nawierzchni zjazdu - wykonanie koryta i nowa konstrukcja nawierzchni z kruszywa: w-wa o gr. 25 cm z mieszanki kruszywa łamanego 0-63 mm w ilości śr. 20 m2 na zjazd -5 złazdów</t>
  </si>
  <si>
    <t>Przygotowanie poboczy gruntowych poprzez wykonanie koryta o gł. 8 cm na szerokości 0,75 m i wyprofilowanie oraz nadanie odpowiedniego spadku na pozostałej gruntowej części poboczy: 338 mb</t>
  </si>
  <si>
    <t>Ulepszenie poboczy na szerokości 0,75 m warstwą  mieszanki kruszyw łamanych 0-31,5 mm, gr. śr. w-wy 8 cm: 338 x 0,75 = 253,5 m2</t>
  </si>
  <si>
    <t>Tarcze znaków drogowych "średnich" , folia odblaskowa 3M II generacji: 
A-7 - 1 szt</t>
  </si>
  <si>
    <t>Usunięcie warstwy ziemi urodzajnej (humusu) o grubości do 20 cm za pomocą koparek poza obręn robót ziemnych: (126+323,5+331,5)b x 1,5 = 1171 m2</t>
  </si>
  <si>
    <t>Wykonanie nasypu z gruntu o parametrach G1 lub G2 zakupionego i dostarczonego na budowę na koszt wykonawcy: 
210 x 1,25 m3/mb = 282 m3</t>
  </si>
  <si>
    <t>Profilowanie i zagęszczenie podłoża pod w-wy konstrukcyjne podbubowy: pod jezdnie  i zjazdy publiczne: [126x5,40 + 425+(323,5+331,5)x0,75] = 1596,6m2</t>
  </si>
  <si>
    <t>Roboty ziemne wykonywane koparkami podsiębiernymi o poj,łyżki 0,60 m3 w gr,kat, III-IV z transp,urobku na odl,do 1 km sam,samowyład:  
- koryto pod poszerzenie: (126*1,9 + 916,2)x 0,20  = 231,1 m3</t>
  </si>
  <si>
    <r>
      <t xml:space="preserve">Część przelotowa przepustu pod koroną drogi z rur </t>
    </r>
    <r>
      <rPr>
        <sz val="11"/>
        <rFont val="Calibri"/>
        <family val="2"/>
        <charset val="238"/>
      </rPr>
      <t>ø</t>
    </r>
    <r>
      <rPr>
        <sz val="12.65"/>
        <rFont val="Arial Narrow"/>
        <family val="2"/>
        <charset val="238"/>
      </rPr>
      <t xml:space="preserve">60 cm </t>
    </r>
    <r>
      <rPr>
        <sz val="11"/>
        <rFont val="Arial Narrow"/>
        <family val="2"/>
        <charset val="238"/>
      </rPr>
      <t>z blachy falistej typu Hel-Cor na ławie z kruszywa łamanego o gr. 25 cm, zakończenia proste: 8 mb</t>
    </r>
  </si>
  <si>
    <t>Zasypanie wykopu wraz z zagęszczeniem - grunt G1 z dowozu: 8 mb x 4 m3/mb = 32 m3</t>
  </si>
  <si>
    <t>rozprężenie istn. utwardzenia z kruszywa łamanego o grubości 25 cm za pomocą zrywala równiarki: 126 x 3,50 = 441 m2</t>
  </si>
  <si>
    <t>Załadunek, transport po budowie i wbudowanie części kruszywa z rozbiórki - doziarnienie na całej powierzchni pod stabilizację:
55% x 126 mb x 0,25 = 17,5 m3 (38,1 t)</t>
  </si>
  <si>
    <t>przemieszczenie równiarką zerwanego kruszywa - dostosowanie do wymaganych spadków poprzecznych i optymalnego profilu podłużnego: 126 x 5,40 = 680,4 m2</t>
  </si>
  <si>
    <t>Wykonanie stabilizacji podłoża cementem gr. 25 cm  o Rm = 2,50 Mpa
"w korycie" pod jezdnię : 680,4 m2</t>
  </si>
  <si>
    <t>Wykonanie stabilizacji podłoża cementem gr. 25 cm  o Rm = 2,50 Mpa 
(z betoniarki)  - poszerzenia na łukach, opaska i zjazd publiczny: 996,2 m2</t>
  </si>
  <si>
    <t>Wykonanie górnej w-wy podbudowy o gr. 8 cm  z mieszanki kruszywa łamanego  0-31,5 mm:  996,2+680,4 = 1676,6 m2</t>
  </si>
  <si>
    <t>W-wa profilowa z masy min.-asfaltowej KR 1-2:  w-wa o śr. grub.:  
2 cm - istn. jezdnia bitum.: 1060 m2 x 0,02 x 2,5 t/m3 = 53,0 t,
4 cm - podbudowa z kruszywa: 825 m2 x 0,04 x 2,5 t/m3 = 82,5 t</t>
  </si>
  <si>
    <t>Nawierzchnie z mieszanek mineralno-bitumicznych asfaltowych o grubości 4 cm (warstwa ścieralna KR 1-2) - jezdnia i zjazd publ: 1838 m2</t>
  </si>
  <si>
    <t>Przygotowanie poboczy gruntowych poprzez wykonanie koryta o gł. 8 cm na szerokości 0,30 - 0,75 m i wyprofilowanie oraz nadanie odpowiedniego spadku na pozostałej gruntowej części poboczy: 655 mb</t>
  </si>
  <si>
    <t>Umocnienie poboczy na szerokości 0,30 -0,75 m warstwą  mieszanki kruszyw łamanych 0-31,5 mm, gr. śr. w-wy 8 cm: 491,3 m2</t>
  </si>
  <si>
    <t xml:space="preserve">Odmulenie rowu przydrożnego na śr. gł. 40 cm  oraz przemieszczenie wcześniej odłożonego humusu - ostateczne uformowanie korpusu drogi oraz rowów przydrożnych: 360 mb </t>
  </si>
  <si>
    <t>Część przelotowej pod zjazdem  -  rura PE lub PCV o sztywności obwodowej SN8, średnica 40 cm, 6 mb x 8 szt, = 48 mb</t>
  </si>
  <si>
    <t xml:space="preserve">Obsypanie rury, wykonanie koryta, profilowanie i zagęszczenie podłoża  oraz nowa konstrukcja nawierzchni z kruszywa: w-wa o gr. 25 cm z mieszanki kruszywa łamanego 0-63 mm w ilości: 13 szt x 20 m2 = 260 m2 </t>
  </si>
  <si>
    <t>Roboty ziemne wykonywane koparkami podsiębiernymi o poj,łyżki 0,60 m3 w gr,kat, III-IV z transp,urobku na odl,do 1 km sam,samowyład:  
- koryto pod wymianę podbudowy: 200 m2 x 0,90  = 180 m3</t>
  </si>
  <si>
    <t>Wykonanie nasypu z gruntu o parametrach G1 lub G2 zakupionego i dostarczonego na budowę na koszt wykonawcy: 200 x 0,5 = 100 m3</t>
  </si>
  <si>
    <t>Profilowanie i zagęszczenie podłoża pod w-wy konstrukcyjne podbubowy: pod wymianę podbudowy 200 m2</t>
  </si>
  <si>
    <t>Wykonanie stabilizacji podłoża cementem gr. 25 cm  o Rm = 2,50 Mpa 
(z betoniarki) : 200 m2</t>
  </si>
  <si>
    <t>Wykonanie górnej w-wy podbudowy o gr. 8 cm  z mieszanki kruszywa łamanego  0-31,5 mm: 200 m2</t>
  </si>
  <si>
    <t>Wymiana podbudowy</t>
  </si>
  <si>
    <t>Razem dział: wymiana podbudowy</t>
  </si>
  <si>
    <t>Wykonanie  w-wy podbudowy z betonu asfaltowego o gr. 8 cm  z AC22P: 200 m2</t>
  </si>
  <si>
    <t>Zasypanie wykopu wraz z zagęszczeniem - grunt G1 z dowozu: 5 mb x 3 m3/mb = 15 m3</t>
  </si>
  <si>
    <t xml:space="preserve">Regulacja pionowa studzienek ściekowych z wymianą osadnika </t>
  </si>
  <si>
    <t>rozprężenie istn. utwardzenia z kruszywa łamanego o grubości 25 cm za pomocą zrywala równiarki: 6 x 3,20 = 19,2 m2</t>
  </si>
  <si>
    <t>Załadunek, transport po budowie i wbudowanie części kruszywa z rozbiórki - doziarnienie na powierzchni pod stabilizację wykonywaną "w korycie":
55% x 19,2 m2 x 0,30 = 3,2 m3 (7,3 t)</t>
  </si>
  <si>
    <t>przemieszczenie równiarką zerwanego kruszywa - dostosowanie do wymaganych spadków poprzecznych i optymalnego profilu podłużnego: 59,25 x 3,90 =231,1 m2</t>
  </si>
  <si>
    <t>Wykonanie stabilizacji podłoża cementem gr. 25 cm  o Rm = 2,50 Mpa
"w korycie" pod jezdnię : 231,1 m2</t>
  </si>
  <si>
    <t>Usunięcie warstwy ziemi urodzajnej (humusu) o grubości do 20 cm za pomocą koparek poza obręb robót ziemnych: 233 + 2 x 0,50 x 85 + 74 = 390 m2</t>
  </si>
  <si>
    <t>Roboty ziemne wykonywane koparkami podsiębiernymi o poj,łyżki 0,60 m3 w gr,kat, III-IV z transp,urobku na odl,do 1 km sam,samowyład:  
- koryto pod poszerzenie: (233 + 2 x 85 x 0,50 + 74)x 0,20  = 78,4 m3,
- wymiana podbudowy : 20 m2 x 0,9 = 18 m3</t>
  </si>
  <si>
    <t>Profilowanie i zagęszczenie podłoża pod w-wy konstrukcyjne podbubowy: pod jezdnie  i zjazdy publiczne: 410 m2</t>
  </si>
  <si>
    <t>Wykonanie nasypu z gruntu o parametrach G1 lub G2 zakupionego i dostarczonego na budowę na koszt wykonawcy: 
wymiana podbudowy: 20 m2 x 0,50 m = 10 m3</t>
  </si>
  <si>
    <t>W-wa profilowa z masy min.-asfaltowej KR 1-2:  w-wa o śr. grub.:  
3 cm - istn. jezdnia bitum.: 3049 m2 x 0,03 x 2,5 t/m3 =228,7 t,
5 cm - podbudowa z kruszywa: 375 m2 x 0,05 x 2,5 t/m3 = 46,9 t</t>
  </si>
  <si>
    <t>Nawierzchnie z mieszanek mineralno-bitumicznych asfaltowych o grubości 4 cm (warstwa ścieralna KR 1-2) - jezdnia i zjazd publ: 3469,5 m2</t>
  </si>
  <si>
    <t>Przygotowanie poboczy gruntowych wyprofilowanie oraz nadanie odpowiedniego spadku na  gruntowej części poboczy:  1340 mb</t>
  </si>
  <si>
    <t>Tarcze znaków drogowych "średnich" , folia odblaskowa 3M II generacji: 
A-7 - 1 szt, B-20 - 5 szt, D-1 - 4 szt, D-2 - 2 szt</t>
  </si>
  <si>
    <t xml:space="preserve">Wykop - wykonanie koryta, profilowanie i zagęszczenie podłoża  oraz nowa konstrukcja nawierzchni z kruszywa: w-wa o gr. 25 cm z mieszanki kruszywa łamanego 0-63 mm w ilości: 13 szt x 20 m2 = 260 m2 </t>
  </si>
  <si>
    <t>Wykonanie kanału technologicznego wraz z studniami rewizyjnymi w odstępach średnio co 200 m. Kanał: rura o śr. 110 mm, wewnątrz 3 x HDPE fi 40 mm o wyróżnikach kolorowych, studnie rewizyjne SK2 - 5 szt</t>
  </si>
  <si>
    <t>Wykonanie kanału technologicznego wraz z studniami rewizyjnymi w odstępach średnio co 200 m. Kanał: rura o śr. 110 mm, wewnątrz 3 x HDPE fi 40 mm o wyróżnikach kolorowych, studnie rewizyjne SK2 - 17 szt</t>
  </si>
  <si>
    <t>Wykonanie kanału technologicznego wraz z studniami rewizyjnymi w odstępach średnio co 200 m. Kanał: rura o śr. 110 mm, wewnątrz 3 x HDPE fi 40 mm o wyróżnikach kolorowych, studnie rewizyjne SK2 - 11 szt</t>
  </si>
  <si>
    <t>Wykonanie kanału technologicznego wraz z studniami rewizyjnymi w odstępach średnio co 200 m. Kanał: rura o śr. 110 mm, wewnątrz 3 x HDPE fi 40 mm o wyróżnikach kolorowych, studnie rewizyjne SK2 - 9 szt</t>
  </si>
  <si>
    <t>Wykonanie kanału technologicznego wraz z studniami rewizyjnymi w odstępach średnio co 200 m. Kanał: rura o śr. 110 mm, wewnątrz 3 x HDPE fi 40 mm o wyróżnikach kolorowych, studnie rewizyjne SK2 - 8 szt</t>
  </si>
  <si>
    <t>Wykonanie kanału technologicznego wraz z studniami rewizyjnymi w odstępach średnio co 200 m. Kanał: rura o śr. 110 mm, wewnątrz 3 x HDPE fi 40 mm o wyróżnikach kolorowych, studnie rewizyjne SK2 - 4 szt</t>
  </si>
  <si>
    <t>Wykonanie kanału technologicznego wraz z studniami rewizyjnymi w odstępach średnio co 200 m. Kanał: rura o śr. 110 mm, wewnątrz 3 x HDPE fi 40 mm o wyróżnikach kolorowych, studnie rewizyjne SK2 - 7 szt</t>
  </si>
  <si>
    <t>Wykonanie kanału technologicznego wraz z studniami rewizyjnymi w odstępach średnio co 200 m. Kanał: rura o śr. 110 mm, wewnątrz 3 x HDPE fi 40 mm o wyróżnikach kolorowych, studnie rewizyjne SK2 - 6 szt</t>
  </si>
  <si>
    <t>Wykonanie kanału technologicznego wraz z studniami rewizyjnymi w odstępach średnio co 200 m. Kanał: rura o śr. 110 mm, wewnątrz 3 x HDPE fi 40 mm o wyróżnikach kolorowych, studnie rewizyjne SK2 - 15 szt</t>
  </si>
  <si>
    <t>105259R</t>
  </si>
  <si>
    <t>105270R</t>
  </si>
  <si>
    <t>105255R</t>
  </si>
  <si>
    <t>105256R</t>
  </si>
  <si>
    <t>105253R</t>
  </si>
  <si>
    <t>105269R</t>
  </si>
  <si>
    <t>105264R</t>
  </si>
  <si>
    <t>105003R</t>
  </si>
  <si>
    <t>105004R</t>
  </si>
  <si>
    <t>105267R</t>
  </si>
  <si>
    <t>105263R</t>
  </si>
  <si>
    <t>3 d.2</t>
  </si>
  <si>
    <t>9 d.4</t>
  </si>
  <si>
    <t>10 d.5</t>
  </si>
  <si>
    <t>12 d.6</t>
  </si>
  <si>
    <t>13 d.6</t>
  </si>
  <si>
    <t>14 d.6</t>
  </si>
  <si>
    <t>15 d.6</t>
  </si>
  <si>
    <t>Przebudowa drogi gminnej nr 105259R Stary Dzików - ul Szafera w km 0+002,50 - 0+452,50 (450 mb)</t>
  </si>
  <si>
    <t>Przebudowa drogi gminnej nr 105004R w Moszczanicy (do Pokrywki) w km 0+000 - 0+166 (166 mb)</t>
  </si>
  <si>
    <t>Przebudowa drogi gminnej nr 105003R w Moszczanicy (do Kantora) w km 0+000 - 0+300 (300mb)</t>
  </si>
  <si>
    <t>Przebudowa drogi gminnej nr 105264R ul. Cieszanowskiej w Starym Dzikowie w km 0+005 - 0+236 (231mb)</t>
  </si>
  <si>
    <t>Przebudowa drogi gminnej nr 105269R ul. Sobieskiego w Starym Dzikowie w km 0+003 - 0+727 (724mb)</t>
  </si>
  <si>
    <t>Przebudowa drogi gminnej nr 105253R Ułazów - Obsza etap I w km 0+000 - 0+510 (510mb)</t>
  </si>
  <si>
    <t>Przebudowa drogi gminnej nr 105253R Ułazów - Parachówka w km 0+003 - 1+123 (1120mb)</t>
  </si>
  <si>
    <t>Przebudowa drogi gminnej nr 105256R Cewków - Ogrody w km 0+008 - 0+988 (980 mb)</t>
  </si>
  <si>
    <t>Przebudowa drogi gminnej nr 105255R Cewków - Kąt Północny w km 0+005 - 1+414 (1409 mb)</t>
  </si>
  <si>
    <t>15 d5</t>
  </si>
  <si>
    <t>16 d5</t>
  </si>
  <si>
    <t>17 d5</t>
  </si>
  <si>
    <t>19 d.7</t>
  </si>
  <si>
    <t>20 d.7</t>
  </si>
  <si>
    <t>21 d.7</t>
  </si>
  <si>
    <t>19 d.5</t>
  </si>
  <si>
    <t>21 d.6</t>
  </si>
  <si>
    <t>22 d.6</t>
  </si>
  <si>
    <t>16 d.6</t>
  </si>
  <si>
    <t>17 d.6</t>
  </si>
  <si>
    <t>22 d.7</t>
  </si>
  <si>
    <t>23 d.7</t>
  </si>
  <si>
    <t>24 d.7</t>
  </si>
  <si>
    <t>25 d.7</t>
  </si>
  <si>
    <t>26 d.7</t>
  </si>
  <si>
    <t>18 d.7</t>
  </si>
  <si>
    <t>13d.4</t>
  </si>
  <si>
    <t>13 d.3</t>
  </si>
  <si>
    <t>18 d.5</t>
  </si>
  <si>
    <t>20 d.5</t>
  </si>
  <si>
    <t>21 d.5</t>
  </si>
  <si>
    <t>25 d.8</t>
  </si>
  <si>
    <t>26 d.8</t>
  </si>
  <si>
    <t>27 d.8</t>
  </si>
  <si>
    <t>28 d.8</t>
  </si>
  <si>
    <t>29 d.8</t>
  </si>
  <si>
    <t>Przebudowa części przelotowej z rur PCV lub PE SN8 fi 40 cm z wykonaniem ław o gr. 20 cm z kruszywa  - 30 mb</t>
  </si>
  <si>
    <t>murki czołowe proste z betonu C25/30 z kapinosem: 6 szt x 1,2 = 7,2 m3</t>
  </si>
  <si>
    <t>6 d.3</t>
  </si>
  <si>
    <t>8 d.4</t>
  </si>
  <si>
    <t>9 d.5</t>
  </si>
  <si>
    <t>11 d.6</t>
  </si>
  <si>
    <t>14 d.3</t>
  </si>
  <si>
    <t>10 d.2</t>
  </si>
  <si>
    <t>15 d.3</t>
  </si>
  <si>
    <t>16 d.3</t>
  </si>
  <si>
    <t>19 d.4</t>
  </si>
  <si>
    <t>24 d.6</t>
  </si>
  <si>
    <t>25 d.6</t>
  </si>
  <si>
    <t>Ogółem wartość kosztorysowa robót brutto</t>
  </si>
  <si>
    <t>Budowa drogi gminnej nr 105259R Stary Dzików - do oczyszczalni w km 0+002,50 - 0+852,50 (850 mb)</t>
  </si>
  <si>
    <t>Budowa drogi gminnej nr 105270R Nowy Dzików przez wieś w km 0+002,50 - 1+802,10 (1799,6 mb) z sięgaczem o dł. 168,1 m</t>
  </si>
  <si>
    <t>Przebudowa części przelotowej z rur PCV lub PE SN8 fi 60 cm z wykonaniem ław o gr. 25 cm z kruszywa  - 11 mb</t>
  </si>
  <si>
    <t>Przebudowa zjazdów indywidualnych - korekta wysokościowa części przelotowej pod zjazdem  -  nowa rura PE lub PCV o sztywności obwodowej SN8, średnica 40 cm, 4 szt x 6 m, = 24 mb</t>
  </si>
  <si>
    <t>Przebudowa drogi gminnej nr 105263R Nowy Dzików - Ułazów w km 0+002,50 - 2+402,50 (2400 mb)</t>
  </si>
  <si>
    <t>W-wa profilowa z masy min.-asfaltowej KR 1-2:  w-wa o śr. grub. 2,0 cm :  
jezdnia: 2400 x 5,05  x 0,02 x 2,5 t/m3 = 606,0 t</t>
  </si>
  <si>
    <t>Nawierzchnie z mieszanek mineralno-bitumicznych asfaltowych o grubości 4 cm (warstwa ścieralna KR 1-2) - jezdnia: 2400 x 5,00 +176 = 12176 m2</t>
  </si>
  <si>
    <t>Przygotowanie poboczy gruntowych poprzez wyprofilowanie oraz nadanie odpowiedniego spadku na gruntowej części poboczy: 4830 mb</t>
  </si>
  <si>
    <t>Rozbiórka istniejącej warstwy bitumicznej gr. 5 cm: 4,50 x 2,00 = 9,00 m2</t>
  </si>
  <si>
    <t>Roboty ziemne wykonywane koparkami podsiębiernymi o poj,łyżki 0,60 m3 w gr,kat, III-IV z transp,urobku na odl,do 1 km sam,samowyład - pod przebudowę przepustu: 8 mb x 3,00 m3/mb = 24 m3</t>
  </si>
  <si>
    <t>Zasypanie wykopu wraz z zagęszczeniem - grunt G1 z dowozu: 8 mb x 3 m3/mb = 24 m3</t>
  </si>
  <si>
    <t>Wykonanie stabilizacji podłoża cementem gr. 25 cm  o Rm = 2,50 Mpa 
(z betoniarki)  -korekta trasy oraz opaska: 814 m2</t>
  </si>
  <si>
    <t>murki czołowe proste z betonu C25/30 z kapinosem: 12 szt x 1,0 m3 + 2 x 1,25 m3</t>
  </si>
  <si>
    <t>Wymiana części przelotowej z rur z tworzyw sztucznych  SN8  fi 60 cm z wykonaniem ław o gr. 25 cm z kruszywa -6 x 9 mb</t>
  </si>
  <si>
    <t>Wymiana części przelotowej z rur z tworzyw sztucznych SN8 fi 80 cm z wykonaniem ław o gr. 25 cm z kruszywa - 9 mb</t>
  </si>
  <si>
    <t xml:space="preserve">Rozbiórka istn. konstrukcji nawierzchni, wykop w gruncie kat. IV i rozbiórka istn. przepustu z odwozem: </t>
  </si>
  <si>
    <t>Odmulenie rowuprzydrożnego na śr. gł. 30 cm  z korektą pochyleń skarp i niwelety rowu oraz odwozem urobku na odl. do 3 km: rów lewy - 1400 mb, rów prawy -250 mb</t>
  </si>
  <si>
    <t>Przebudowa zjazdów indywidualnych - korekta wysokościowa części przelotowej pod zjazdem  -  nowa rura PE lub PCV o sztywności obwodowej SN8, średnica 40 cm, 6 mb x 28 szt, = 168 mb</t>
  </si>
  <si>
    <t>Przebudowa zjazdów indywidualnych - korekta wysokościowa nawierzchni zjazdu - przebudowa istn nawierzchni z kostki z uzupełnieniem podsypki cementowo-piaskowej: średnio 15 m2 na zjazd - 4 zjazdy</t>
  </si>
  <si>
    <t>Przebudowa zjazdów indywidualnych - korekta wysokościowa nawierzchni zjazdu - wykonanie koryta i nowa konstrukcja nawierzchni z kruszywa: w-wa o gr. 25 cm z mieszanki kruszywa łamanego 0-63 mm w ilości śr. 20 m2 na zjazd -12 złazdów</t>
  </si>
  <si>
    <t xml:space="preserve">Odmulenie rowuprzydrożnego na śr. gł. 30 cm  z korektą pochyleń skarp i niwelety rowu oraz odwozem urobku na odl. do 3 km: rów lewy i prawy - 4800 mb, </t>
  </si>
  <si>
    <t>Przebudowa zjazdów indywidualnych - korekta wysokościowa nawierzchni zjazdu - wykonanie koryta i nowa konstrukcja nawierzchni z kruszywa: w-wa o gr. 25 cm z mieszanki kruszywa łamanego 0-63 mm w ilości śr. 10 m2 na zjazd -19 złazdów</t>
  </si>
  <si>
    <t>12 d.5</t>
  </si>
  <si>
    <t>Budowa i przebudwa dróg gminnych publicznych 
ujętych w programie przebudowy na lata 2022 - 2023 
na terenie Gminy Stary Dzików</t>
  </si>
  <si>
    <t>9 d.3.1</t>
  </si>
  <si>
    <t>9 d.3.2</t>
  </si>
  <si>
    <t>Nawierzchnie z mieszanek mineralno-bitumicznych asfaltowych o grubości 5 cm (warstwa wiążąca KR 1-2) - poszerzenia i przekopy pod przepusty: 
poszerzenia: 209 m2, przepusty: 7 x 5,00 x 2,50 = 87,5 m2</t>
  </si>
  <si>
    <t>W-wa profilowa z masy min.-asfaltowej KR 1-2:  w-wa o śr. grub. 3,0cm :  
jezdnia: (3519 + 1818 x 0,05) x 0,03 x 2,5 t/m3 = 270,5 t,
zjazdy publ.: 247 m2 x 0,03 x 2,5 t/m3 = 18,5 t
W-wa profilowa z masy min.-asfaltowej KR 1-2:  w-wa o śr. grub. 5,0cm na porzerzeniach (porzerzenia na łukach i lokalna korerkta trasy): 404 m2 x 0,05 x 2,5 t/m3 = 51 t</t>
  </si>
  <si>
    <t>Nawierzchnie z mieszanek mineralno-bitumicznych asfaltowych o grubości 4 cm (warstwa wiążąca KR 1-2) - poszerzenia i zjazdy publ.: 
1583 m2+ 3934,2 mb x 0,05 + 4 x 93,2 = 2152,5 m2</t>
  </si>
  <si>
    <t>Nawierzchnie z mieszanek mineralno-bitumicznych asfaltowych o grubości średniej  5 cm (warstwa wiążąca KR 1-2), min. grubość w-wy: 4,0 cm -  poszerzenia i na całej szer. jezdni z kruszywa = 651 m2</t>
  </si>
  <si>
    <t>Wymiana części przelotowej z rur żelbetowych fi 60 cm na rure PE SN8 o śr.. 60 cm z wykonaniem ław o gr. 25 cm z kruszywa  - 9 mb</t>
  </si>
  <si>
    <t>Wykonanie stabilizacji podłoża cementem gr. 25 cm  o Rm = 2,50 Mpa 
(z betoniarki)  - poszerzenia i opaska: 159 m2, wymiana podbudowy: 20 m2, wymiana przepustu: 16,8 m2</t>
  </si>
  <si>
    <t>Wykonanie górnej w-wy podbudowy o gr. 8 cm  z mieszanki kruszywa łamanego  0-31,5 mm: 238,1+ 157 +20 + 16,2 = 431,3 m2</t>
  </si>
  <si>
    <t>Wykonanie  w-wy podbudowy z betonu asfaltowego o gr. 8 cm  z AC22P: 20 m2 + 15,6 m2</t>
  </si>
  <si>
    <t>Przebudowa części przelotowej z rur PCV lub PE SN8 fi 80 cm z wykonaniem ław o gr. 25 cm z kruszywa  - 11 mb</t>
  </si>
  <si>
    <t>KOSZTORYS  OFERTOWY - ZBIORÓWKA</t>
  </si>
  <si>
    <t>KOSZTORYS OFERTOWY</t>
  </si>
  <si>
    <t>Przebudowa drogi gminnej nr 105267R Stary Dzików - ul Kopernika i sięgacz (760 mb)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</si>
</sst>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%"/>
    <numFmt numFmtId="166" formatCode="#,##0.00\ &quot;zł&quot;"/>
  </numFmts>
  <fonts count="21">
    <font>
      <sz val="11"/>
      <color theme="1"/>
      <name val="Czcionka tekstu podstawowego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Calibri"/>
      <family val="2"/>
      <charset val="238"/>
    </font>
    <font>
      <sz val="12.65"/>
      <name val="Arial Narrow"/>
      <family val="2"/>
      <charset val="238"/>
    </font>
    <font>
      <b/>
      <sz val="2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7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1" fillId="0" borderId="26" xfId="0" applyNumberFormat="1" applyFont="1" applyBorder="1" applyAlignment="1">
      <alignment horizontal="center" vertical="center"/>
    </xf>
    <xf numFmtId="0" fontId="11" fillId="0" borderId="27" xfId="0" applyNumberFormat="1" applyFont="1" applyBorder="1" applyAlignment="1">
      <alignment horizontal="center" vertical="center" wrapText="1"/>
    </xf>
    <xf numFmtId="164" fontId="11" fillId="0" borderId="27" xfId="0" applyNumberFormat="1" applyFont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center" vertical="center" wrapText="1"/>
    </xf>
    <xf numFmtId="0" fontId="11" fillId="0" borderId="29" xfId="0" applyNumberFormat="1" applyFont="1" applyBorder="1" applyAlignment="1">
      <alignment horizontal="center" vertical="center"/>
    </xf>
    <xf numFmtId="0" fontId="11" fillId="0" borderId="30" xfId="0" applyNumberFormat="1" applyFont="1" applyBorder="1" applyAlignment="1">
      <alignment horizontal="left" vertical="center" wrapText="1"/>
    </xf>
    <xf numFmtId="164" fontId="11" fillId="0" borderId="30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/>
    </xf>
    <xf numFmtId="0" fontId="12" fillId="0" borderId="30" xfId="0" applyNumberFormat="1" applyFont="1" applyBorder="1" applyAlignment="1">
      <alignment horizontal="center" vertical="center" wrapText="1"/>
    </xf>
    <xf numFmtId="0" fontId="12" fillId="0" borderId="32" xfId="0" applyNumberFormat="1" applyFont="1" applyBorder="1" applyAlignment="1">
      <alignment horizontal="center" vertical="center" wrapText="1"/>
    </xf>
    <xf numFmtId="0" fontId="11" fillId="0" borderId="32" xfId="0" applyNumberFormat="1" applyFont="1" applyBorder="1" applyAlignment="1">
      <alignment horizontal="left" vertical="center" wrapText="1"/>
    </xf>
    <xf numFmtId="0" fontId="11" fillId="0" borderId="33" xfId="0" applyNumberFormat="1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center" vertical="center" wrapText="1"/>
    </xf>
    <xf numFmtId="0" fontId="11" fillId="0" borderId="34" xfId="0" applyNumberFormat="1" applyFont="1" applyBorder="1" applyAlignment="1">
      <alignment horizontal="left" vertical="center" wrapText="1"/>
    </xf>
    <xf numFmtId="164" fontId="11" fillId="0" borderId="34" xfId="0" applyNumberFormat="1" applyFont="1" applyBorder="1" applyAlignment="1">
      <alignment horizontal="center" vertical="center"/>
    </xf>
    <xf numFmtId="3" fontId="11" fillId="0" borderId="35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lef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165" fontId="11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4" fontId="14" fillId="0" borderId="0" xfId="0" applyNumberFormat="1" applyFont="1"/>
    <xf numFmtId="0" fontId="14" fillId="0" borderId="0" xfId="0" applyFont="1"/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right" vertical="center" wrapText="1"/>
    </xf>
    <xf numFmtId="4" fontId="15" fillId="0" borderId="42" xfId="0" applyNumberFormat="1" applyFont="1" applyBorder="1" applyAlignment="1">
      <alignment horizontal="right" vertical="center" wrapText="1"/>
    </xf>
    <xf numFmtId="0" fontId="15" fillId="0" borderId="40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0" xfId="0" applyNumberFormat="1" applyFont="1" applyBorder="1" applyAlignment="1">
      <alignment horizontal="center" vertical="center" wrapText="1"/>
    </xf>
    <xf numFmtId="4" fontId="15" fillId="0" borderId="40" xfId="0" applyNumberFormat="1" applyFont="1" applyBorder="1" applyAlignment="1">
      <alignment horizontal="right" vertical="center" wrapText="1"/>
    </xf>
    <xf numFmtId="4" fontId="15" fillId="0" borderId="41" xfId="0" applyNumberFormat="1" applyFont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right" vertical="center" wrapText="1"/>
    </xf>
    <xf numFmtId="4" fontId="15" fillId="0" borderId="6" xfId="0" applyNumberFormat="1" applyFont="1" applyBorder="1" applyAlignment="1">
      <alignment horizontal="right" vertical="center" wrapText="1"/>
    </xf>
    <xf numFmtId="4" fontId="15" fillId="0" borderId="0" xfId="0" applyNumberFormat="1" applyFont="1"/>
    <xf numFmtId="0" fontId="15" fillId="0" borderId="0" xfId="0" applyFont="1"/>
    <xf numFmtId="4" fontId="0" fillId="0" borderId="0" xfId="0" applyNumberFormat="1"/>
    <xf numFmtId="0" fontId="0" fillId="0" borderId="0" xfId="0" applyAlignment="1">
      <alignment horizontal="right"/>
    </xf>
    <xf numFmtId="166" fontId="11" fillId="0" borderId="27" xfId="0" applyNumberFormat="1" applyFont="1" applyBorder="1" applyAlignment="1">
      <alignment horizontal="center" vertical="center" wrapText="1"/>
    </xf>
    <xf numFmtId="166" fontId="11" fillId="0" borderId="30" xfId="0" applyNumberFormat="1" applyFont="1" applyBorder="1" applyAlignment="1">
      <alignment horizontal="center" vertical="center"/>
    </xf>
    <xf numFmtId="166" fontId="11" fillId="0" borderId="34" xfId="0" applyNumberFormat="1" applyFont="1" applyBorder="1" applyAlignment="1">
      <alignment horizontal="center" vertical="center"/>
    </xf>
    <xf numFmtId="166" fontId="4" fillId="0" borderId="37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right" vertical="center"/>
    </xf>
    <xf numFmtId="166" fontId="0" fillId="0" borderId="0" xfId="0" applyNumberFormat="1"/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17" fillId="0" borderId="6" xfId="0" applyNumberFormat="1" applyFont="1" applyBorder="1" applyAlignment="1">
      <alignment horizontal="right" vertical="center" wrapText="1"/>
    </xf>
    <xf numFmtId="164" fontId="11" fillId="0" borderId="32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8" fillId="0" borderId="23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workbookViewId="0">
      <selection activeCell="J13" sqref="J13:K13"/>
    </sheetView>
  </sheetViews>
  <sheetFormatPr defaultRowHeight="14.25"/>
  <cols>
    <col min="1" max="1" width="5.375" customWidth="1"/>
    <col min="2" max="2" width="9.75" customWidth="1"/>
    <col min="3" max="3" width="35.625" customWidth="1"/>
    <col min="4" max="4" width="8.125" customWidth="1"/>
    <col min="5" max="5" width="15.875" style="89" customWidth="1"/>
    <col min="6" max="6" width="13.5" customWidth="1"/>
    <col min="8" max="8" width="11" style="81" customWidth="1"/>
  </cols>
  <sheetData>
    <row r="1" spans="1:7" ht="63.75" customHeight="1">
      <c r="A1" s="106" t="s">
        <v>440</v>
      </c>
      <c r="B1" s="106"/>
      <c r="C1" s="106"/>
      <c r="D1" s="106"/>
      <c r="E1" s="106"/>
      <c r="F1" s="106"/>
    </row>
    <row r="2" spans="1:7" ht="63.75" customHeight="1" thickBot="1">
      <c r="A2" s="103" t="s">
        <v>428</v>
      </c>
      <c r="B2" s="103"/>
      <c r="C2" s="103"/>
      <c r="D2" s="103"/>
      <c r="E2" s="103"/>
      <c r="F2" s="103"/>
    </row>
    <row r="3" spans="1:7" ht="48" thickTop="1">
      <c r="A3" s="29" t="s">
        <v>28</v>
      </c>
      <c r="B3" s="30" t="s">
        <v>29</v>
      </c>
      <c r="C3" s="30" t="s">
        <v>30</v>
      </c>
      <c r="D3" s="31" t="s">
        <v>31</v>
      </c>
      <c r="E3" s="83" t="s">
        <v>32</v>
      </c>
      <c r="F3" s="32" t="s">
        <v>33</v>
      </c>
    </row>
    <row r="4" spans="1:7" ht="36.75" customHeight="1">
      <c r="A4" s="33">
        <v>1</v>
      </c>
      <c r="B4" s="37" t="s">
        <v>337</v>
      </c>
      <c r="C4" s="34" t="s">
        <v>124</v>
      </c>
      <c r="D4" s="35">
        <v>0.85</v>
      </c>
      <c r="E4" s="84">
        <f>+'zad nr 01 Stary Dzików do oczys'!G47</f>
        <v>0</v>
      </c>
      <c r="F4" s="36">
        <f>ROUND(E4/D4,0)</f>
        <v>0</v>
      </c>
      <c r="G4" s="82"/>
    </row>
    <row r="5" spans="1:7" ht="36.75" customHeight="1">
      <c r="A5" s="33">
        <v>2</v>
      </c>
      <c r="B5" s="37" t="s">
        <v>338</v>
      </c>
      <c r="C5" s="34" t="s">
        <v>153</v>
      </c>
      <c r="D5" s="35">
        <v>1.9670000000000001</v>
      </c>
      <c r="E5" s="84">
        <f>+'zad nr 02 Nowy Dzików przez wie'!G44</f>
        <v>0</v>
      </c>
      <c r="F5" s="36">
        <f t="shared" ref="F5:F14" si="0">ROUND(E5/D5,0)</f>
        <v>0</v>
      </c>
    </row>
    <row r="6" spans="1:7" ht="36.75" customHeight="1">
      <c r="A6" s="33">
        <v>3</v>
      </c>
      <c r="B6" s="37" t="s">
        <v>339</v>
      </c>
      <c r="C6" s="34" t="s">
        <v>154</v>
      </c>
      <c r="D6" s="35">
        <v>1.409</v>
      </c>
      <c r="E6" s="84">
        <f>+'zad nr 03 Cewków - Kąt Północny'!G43</f>
        <v>0</v>
      </c>
      <c r="F6" s="36">
        <f t="shared" si="0"/>
        <v>0</v>
      </c>
    </row>
    <row r="7" spans="1:7" ht="36.75" customHeight="1">
      <c r="A7" s="33">
        <v>4</v>
      </c>
      <c r="B7" s="37" t="s">
        <v>340</v>
      </c>
      <c r="C7" s="34" t="s">
        <v>160</v>
      </c>
      <c r="D7" s="35">
        <v>0.98</v>
      </c>
      <c r="E7" s="84">
        <f>+'zad nr 04 Cewków - Ogrody'!G44</f>
        <v>0</v>
      </c>
      <c r="F7" s="36">
        <f t="shared" si="0"/>
        <v>0</v>
      </c>
    </row>
    <row r="8" spans="1:7" ht="36.75" customHeight="1">
      <c r="A8" s="33">
        <v>5</v>
      </c>
      <c r="B8" s="37" t="s">
        <v>341</v>
      </c>
      <c r="C8" s="34" t="s">
        <v>161</v>
      </c>
      <c r="D8" s="35">
        <v>1.1200000000000001</v>
      </c>
      <c r="E8" s="84">
        <f>+'zad nr 05 Ułazów - Parachówka'!G50</f>
        <v>0</v>
      </c>
      <c r="F8" s="36">
        <f t="shared" si="0"/>
        <v>0</v>
      </c>
    </row>
    <row r="9" spans="1:7" ht="36.75" customHeight="1">
      <c r="A9" s="33">
        <v>6</v>
      </c>
      <c r="B9" s="37" t="s">
        <v>341</v>
      </c>
      <c r="C9" s="34" t="s">
        <v>186</v>
      </c>
      <c r="D9" s="35">
        <v>0.51</v>
      </c>
      <c r="E9" s="84">
        <f>+'zad nr 06 Ułazów - Obsza etap I'!G46</f>
        <v>0</v>
      </c>
      <c r="F9" s="36">
        <f t="shared" ref="F9" si="1">ROUND(E9/D9,0)</f>
        <v>0</v>
      </c>
    </row>
    <row r="10" spans="1:7" ht="36.75" customHeight="1">
      <c r="A10" s="33">
        <v>7</v>
      </c>
      <c r="B10" s="37" t="s">
        <v>342</v>
      </c>
      <c r="C10" s="34" t="s">
        <v>162</v>
      </c>
      <c r="D10" s="35">
        <v>0.72399999999999998</v>
      </c>
      <c r="E10" s="84">
        <f>+'zad nr 07 St Dzików Sobieskiego'!G48</f>
        <v>0</v>
      </c>
      <c r="F10" s="36">
        <f t="shared" si="0"/>
        <v>0</v>
      </c>
    </row>
    <row r="11" spans="1:7" ht="36.75" customHeight="1">
      <c r="A11" s="33">
        <v>8</v>
      </c>
      <c r="B11" s="37" t="s">
        <v>343</v>
      </c>
      <c r="C11" s="34" t="s">
        <v>163</v>
      </c>
      <c r="D11" s="35">
        <v>0.23100000000000001</v>
      </c>
      <c r="E11" s="84">
        <f>+'zad nr 08 St Dzików k cmentarza'!G55</f>
        <v>0</v>
      </c>
      <c r="F11" s="36">
        <f t="shared" si="0"/>
        <v>0</v>
      </c>
    </row>
    <row r="12" spans="1:7" ht="36.75" customHeight="1">
      <c r="A12" s="33">
        <v>9</v>
      </c>
      <c r="B12" s="37" t="s">
        <v>344</v>
      </c>
      <c r="C12" s="34" t="s">
        <v>164</v>
      </c>
      <c r="D12" s="35">
        <v>0.3</v>
      </c>
      <c r="E12" s="84">
        <f>+'zad nr 09 Moszczanica do Kantor'!G46</f>
        <v>0</v>
      </c>
      <c r="F12" s="36">
        <f t="shared" si="0"/>
        <v>0</v>
      </c>
    </row>
    <row r="13" spans="1:7" ht="36.75" customHeight="1">
      <c r="A13" s="33">
        <v>10</v>
      </c>
      <c r="B13" s="38" t="s">
        <v>345</v>
      </c>
      <c r="C13" s="39" t="s">
        <v>165</v>
      </c>
      <c r="D13" s="35">
        <v>0.16600000000000001</v>
      </c>
      <c r="E13" s="84">
        <f>+'zad nr 10 Moszczanica do Pokryw'!G37</f>
        <v>0</v>
      </c>
      <c r="F13" s="36">
        <f t="shared" si="0"/>
        <v>0</v>
      </c>
    </row>
    <row r="14" spans="1:7" ht="36.75" customHeight="1">
      <c r="A14" s="33">
        <v>11</v>
      </c>
      <c r="B14" s="38" t="s">
        <v>337</v>
      </c>
      <c r="C14" s="39" t="s">
        <v>166</v>
      </c>
      <c r="D14" s="35">
        <v>0.45</v>
      </c>
      <c r="E14" s="84">
        <f>+'zad nr 11 Stary Dzików ul Szafe'!G48</f>
        <v>0</v>
      </c>
      <c r="F14" s="36">
        <f t="shared" si="0"/>
        <v>0</v>
      </c>
    </row>
    <row r="15" spans="1:7" ht="36.75" customHeight="1">
      <c r="A15" s="33">
        <v>12</v>
      </c>
      <c r="B15" s="38" t="s">
        <v>346</v>
      </c>
      <c r="C15" s="39" t="s">
        <v>167</v>
      </c>
      <c r="D15" s="102">
        <v>0.76</v>
      </c>
      <c r="E15" s="84">
        <f>+'zad nr 12 Stary Dzików Koprenik'!G49</f>
        <v>0</v>
      </c>
      <c r="F15" s="36">
        <f t="shared" ref="F15" si="2">ROUND(E15/D15,0)</f>
        <v>0</v>
      </c>
    </row>
    <row r="16" spans="1:7" ht="36.75" customHeight="1" thickBot="1">
      <c r="A16" s="40">
        <v>13</v>
      </c>
      <c r="B16" s="41" t="s">
        <v>347</v>
      </c>
      <c r="C16" s="42" t="s">
        <v>168</v>
      </c>
      <c r="D16" s="43">
        <v>2.4</v>
      </c>
      <c r="E16" s="85">
        <f>+'zad nr 13 N Dzików - Ulazów'!G37</f>
        <v>0</v>
      </c>
      <c r="F16" s="44">
        <f>ROUND(E16/D16,0)</f>
        <v>0</v>
      </c>
    </row>
    <row r="17" spans="1:6" ht="16.5" thickBot="1">
      <c r="A17" s="104" t="s">
        <v>34</v>
      </c>
      <c r="B17" s="105"/>
      <c r="C17" s="105"/>
      <c r="D17" s="45">
        <f>SUM(D4:D16)</f>
        <v>11.866999999999999</v>
      </c>
      <c r="E17" s="86">
        <f>SUM(E4:E16)</f>
        <v>0</v>
      </c>
      <c r="F17" s="46"/>
    </row>
    <row r="18" spans="1:6" ht="16.5" thickTop="1">
      <c r="A18" s="47"/>
      <c r="B18" s="48"/>
      <c r="C18" s="48"/>
      <c r="D18" s="49"/>
      <c r="E18" s="87"/>
      <c r="F18" s="50"/>
    </row>
    <row r="19" spans="1:6" ht="15.75">
      <c r="A19" s="47"/>
      <c r="B19" s="48" t="s">
        <v>35</v>
      </c>
      <c r="C19" s="48"/>
      <c r="D19" s="49"/>
      <c r="E19" s="87"/>
      <c r="F19" s="50"/>
    </row>
    <row r="20" spans="1:6" ht="15.75">
      <c r="A20" s="47"/>
      <c r="B20" s="48"/>
      <c r="C20" s="51" t="s">
        <v>51</v>
      </c>
      <c r="D20" s="49"/>
      <c r="E20" s="88">
        <v>9800000</v>
      </c>
      <c r="F20" s="50"/>
    </row>
    <row r="21" spans="1:6" ht="15.75">
      <c r="A21" s="47"/>
      <c r="B21" s="48"/>
      <c r="C21" s="51" t="s">
        <v>36</v>
      </c>
      <c r="D21" s="49"/>
      <c r="E21" s="88">
        <f>+E17-E20</f>
        <v>-9800000</v>
      </c>
      <c r="F21" s="54" t="e">
        <f>ROUND(E21/E23,3)</f>
        <v>#DIV/0!</v>
      </c>
    </row>
    <row r="22" spans="1:6" ht="15.75">
      <c r="A22" s="47"/>
      <c r="B22" s="48"/>
      <c r="C22" s="48"/>
      <c r="D22" s="49"/>
      <c r="E22" s="87"/>
      <c r="F22" s="50"/>
    </row>
    <row r="23" spans="1:6">
      <c r="E23" s="89">
        <f>+E21+E20</f>
        <v>0</v>
      </c>
    </row>
  </sheetData>
  <mergeCells count="3">
    <mergeCell ref="A2:F2"/>
    <mergeCell ref="A17:C17"/>
    <mergeCell ref="A1:F1"/>
  </mergeCells>
  <pageMargins left="0.65" right="0.27" top="0.47244094488188981" bottom="0.27559055118110237" header="0.31496062992125984" footer="0.15748031496062992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showGridLines="0" zoomScale="115" zoomScaleNormal="115" workbookViewId="0">
      <selection activeCell="F36" sqref="F36:F40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10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10" ht="23.25" customHeight="1">
      <c r="A2" s="133" t="s">
        <v>357</v>
      </c>
      <c r="B2" s="133"/>
      <c r="C2" s="133"/>
      <c r="D2" s="133"/>
      <c r="E2" s="133"/>
      <c r="F2" s="133"/>
      <c r="G2" s="133"/>
    </row>
    <row r="3" spans="1:10" ht="8.25" customHeight="1" thickBot="1">
      <c r="A3" s="134"/>
      <c r="B3" s="134"/>
      <c r="C3" s="134"/>
      <c r="D3" s="134"/>
      <c r="E3" s="134"/>
      <c r="F3" s="134"/>
      <c r="G3" s="134"/>
    </row>
    <row r="4" spans="1:10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10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10">
      <c r="A6" s="15">
        <v>1</v>
      </c>
      <c r="B6" s="16"/>
      <c r="C6" s="112" t="s">
        <v>125</v>
      </c>
      <c r="D6" s="113"/>
      <c r="E6" s="113"/>
      <c r="F6" s="113"/>
      <c r="G6" s="114"/>
    </row>
    <row r="7" spans="1:10" ht="33">
      <c r="A7" s="17" t="s">
        <v>7</v>
      </c>
      <c r="B7" s="18" t="s">
        <v>9</v>
      </c>
      <c r="C7" s="18" t="s">
        <v>92</v>
      </c>
      <c r="D7" s="19" t="s">
        <v>93</v>
      </c>
      <c r="E7" s="20">
        <v>0.3</v>
      </c>
      <c r="F7" s="21"/>
      <c r="G7" s="22">
        <f t="shared" ref="G7:G10" si="0">ROUND(F7*E7,2)</f>
        <v>0</v>
      </c>
    </row>
    <row r="8" spans="1:10" ht="49.5">
      <c r="A8" s="17" t="s">
        <v>8</v>
      </c>
      <c r="B8" s="18" t="s">
        <v>9</v>
      </c>
      <c r="C8" s="18" t="s">
        <v>262</v>
      </c>
      <c r="D8" s="19" t="s">
        <v>10</v>
      </c>
      <c r="E8" s="20">
        <v>504</v>
      </c>
      <c r="F8" s="21"/>
      <c r="G8" s="22">
        <f t="shared" si="0"/>
        <v>0</v>
      </c>
    </row>
    <row r="9" spans="1:10" ht="57.75" customHeight="1">
      <c r="A9" s="17" t="s">
        <v>38</v>
      </c>
      <c r="B9" s="18" t="s">
        <v>58</v>
      </c>
      <c r="C9" s="18" t="s">
        <v>271</v>
      </c>
      <c r="D9" s="19" t="s">
        <v>11</v>
      </c>
      <c r="E9" s="20">
        <v>162.80000000000001</v>
      </c>
      <c r="F9" s="21"/>
      <c r="G9" s="22">
        <f t="shared" si="0"/>
        <v>0</v>
      </c>
    </row>
    <row r="10" spans="1:10" ht="33">
      <c r="A10" s="17" t="s">
        <v>59</v>
      </c>
      <c r="B10" s="18" t="s">
        <v>75</v>
      </c>
      <c r="C10" s="18" t="s">
        <v>263</v>
      </c>
      <c r="D10" s="19" t="s">
        <v>11</v>
      </c>
      <c r="E10" s="20">
        <v>50</v>
      </c>
      <c r="F10" s="21"/>
      <c r="G10" s="22">
        <f t="shared" si="0"/>
        <v>0</v>
      </c>
    </row>
    <row r="11" spans="1:10">
      <c r="A11" s="115" t="s">
        <v>126</v>
      </c>
      <c r="B11" s="113"/>
      <c r="C11" s="113"/>
      <c r="D11" s="113"/>
      <c r="E11" s="113"/>
      <c r="F11" s="116"/>
      <c r="G11" s="23">
        <f>SUM(G7:G10)</f>
        <v>0</v>
      </c>
    </row>
    <row r="12" spans="1:10">
      <c r="A12" s="15">
        <v>2</v>
      </c>
      <c r="B12" s="16"/>
      <c r="C12" s="112" t="s">
        <v>23</v>
      </c>
      <c r="D12" s="113"/>
      <c r="E12" s="113"/>
      <c r="F12" s="113"/>
      <c r="G12" s="114"/>
    </row>
    <row r="13" spans="1:10" ht="33" customHeight="1">
      <c r="A13" s="17" t="s">
        <v>53</v>
      </c>
      <c r="B13" s="18" t="s">
        <v>75</v>
      </c>
      <c r="C13" s="18" t="s">
        <v>264</v>
      </c>
      <c r="D13" s="19" t="s">
        <v>37</v>
      </c>
      <c r="E13" s="20">
        <v>6</v>
      </c>
      <c r="F13" s="21"/>
      <c r="G13" s="22">
        <f>ROUND(F13*E13,2)</f>
        <v>0</v>
      </c>
    </row>
    <row r="14" spans="1:10" ht="33" customHeight="1">
      <c r="A14" s="17" t="s">
        <v>56</v>
      </c>
      <c r="B14" s="24" t="s">
        <v>85</v>
      </c>
      <c r="C14" s="18" t="s">
        <v>136</v>
      </c>
      <c r="D14" s="19" t="s">
        <v>11</v>
      </c>
      <c r="E14" s="20">
        <v>2</v>
      </c>
      <c r="F14" s="21"/>
      <c r="G14" s="22">
        <f>ROUND(F14*E14,2)</f>
        <v>0</v>
      </c>
    </row>
    <row r="15" spans="1:10" s="1" customFormat="1" ht="32.25" customHeight="1">
      <c r="A15" s="17" t="s">
        <v>60</v>
      </c>
      <c r="B15" s="18" t="s">
        <v>72</v>
      </c>
      <c r="C15" s="18" t="s">
        <v>265</v>
      </c>
      <c r="D15" s="19" t="s">
        <v>11</v>
      </c>
      <c r="E15" s="20">
        <v>24</v>
      </c>
      <c r="F15" s="21"/>
      <c r="G15" s="22">
        <f>ROUND(F15*E15,2)</f>
        <v>0</v>
      </c>
      <c r="I15" s="3"/>
      <c r="J15" s="3"/>
    </row>
    <row r="16" spans="1:10" s="1" customFormat="1">
      <c r="A16" s="115" t="s">
        <v>22</v>
      </c>
      <c r="B16" s="113"/>
      <c r="C16" s="113"/>
      <c r="D16" s="113"/>
      <c r="E16" s="113"/>
      <c r="F16" s="116"/>
      <c r="G16" s="23">
        <f>SUM(G13:G15)</f>
        <v>0</v>
      </c>
      <c r="I16" s="3"/>
      <c r="J16" s="3"/>
    </row>
    <row r="17" spans="1:10">
      <c r="A17" s="15">
        <v>3</v>
      </c>
      <c r="B17" s="16"/>
      <c r="C17" s="112" t="s">
        <v>26</v>
      </c>
      <c r="D17" s="113"/>
      <c r="E17" s="113"/>
      <c r="F17" s="113"/>
      <c r="G17" s="114"/>
    </row>
    <row r="18" spans="1:10" ht="48" customHeight="1">
      <c r="A18" s="17" t="s">
        <v>55</v>
      </c>
      <c r="B18" s="18" t="s">
        <v>75</v>
      </c>
      <c r="C18" s="18" t="s">
        <v>272</v>
      </c>
      <c r="D18" s="19" t="s">
        <v>10</v>
      </c>
      <c r="E18" s="20">
        <v>814</v>
      </c>
      <c r="F18" s="21"/>
      <c r="G18" s="22">
        <f t="shared" ref="G18" si="1">ROUND(F18*E18,2)</f>
        <v>0</v>
      </c>
    </row>
    <row r="19" spans="1:10" ht="50.25" customHeight="1">
      <c r="A19" s="17" t="s">
        <v>80</v>
      </c>
      <c r="B19" s="24" t="s">
        <v>52</v>
      </c>
      <c r="C19" s="18" t="s">
        <v>416</v>
      </c>
      <c r="D19" s="19" t="s">
        <v>10</v>
      </c>
      <c r="E19" s="20">
        <v>814</v>
      </c>
      <c r="F19" s="21"/>
      <c r="G19" s="22">
        <f>ROUND(F19*E19,2)</f>
        <v>0</v>
      </c>
    </row>
    <row r="20" spans="1:10" ht="54" customHeight="1">
      <c r="A20" s="17" t="s">
        <v>63</v>
      </c>
      <c r="B20" s="24" t="s">
        <v>76</v>
      </c>
      <c r="C20" s="18" t="s">
        <v>273</v>
      </c>
      <c r="D20" s="19" t="s">
        <v>10</v>
      </c>
      <c r="E20" s="20">
        <f>+E18</f>
        <v>814</v>
      </c>
      <c r="F20" s="21"/>
      <c r="G20" s="22">
        <f>ROUND(F20*E20,2)</f>
        <v>0</v>
      </c>
    </row>
    <row r="21" spans="1:10">
      <c r="A21" s="115" t="s">
        <v>84</v>
      </c>
      <c r="B21" s="113"/>
      <c r="C21" s="113"/>
      <c r="D21" s="113"/>
      <c r="E21" s="113"/>
      <c r="F21" s="116"/>
      <c r="G21" s="23">
        <f>SUM(G18:G20)</f>
        <v>0</v>
      </c>
    </row>
    <row r="22" spans="1:10" s="1" customFormat="1">
      <c r="A22" s="15">
        <v>4</v>
      </c>
      <c r="B22" s="16"/>
      <c r="C22" s="112" t="s">
        <v>12</v>
      </c>
      <c r="D22" s="113"/>
      <c r="E22" s="113"/>
      <c r="F22" s="113"/>
      <c r="G22" s="114"/>
      <c r="I22" s="3"/>
      <c r="J22" s="3"/>
    </row>
    <row r="23" spans="1:10" s="1" customFormat="1" ht="36.75" customHeight="1">
      <c r="A23" s="17" t="s">
        <v>113</v>
      </c>
      <c r="B23" s="18" t="s">
        <v>81</v>
      </c>
      <c r="C23" s="18" t="s">
        <v>266</v>
      </c>
      <c r="D23" s="19" t="s">
        <v>14</v>
      </c>
      <c r="E23" s="20">
        <v>57.8</v>
      </c>
      <c r="F23" s="21"/>
      <c r="G23" s="22">
        <f>ROUND(F23*E23,2)</f>
        <v>0</v>
      </c>
      <c r="I23" s="3"/>
      <c r="J23" s="3"/>
    </row>
    <row r="24" spans="1:10" ht="49.5">
      <c r="A24" s="17" t="s">
        <v>65</v>
      </c>
      <c r="B24" s="18" t="s">
        <v>15</v>
      </c>
      <c r="C24" s="18" t="s">
        <v>274</v>
      </c>
      <c r="D24" s="19" t="s">
        <v>10</v>
      </c>
      <c r="E24" s="20">
        <v>362</v>
      </c>
      <c r="F24" s="21"/>
      <c r="G24" s="22">
        <f>ROUND(F24*E24,2)</f>
        <v>0</v>
      </c>
    </row>
    <row r="25" spans="1:10" s="1" customFormat="1" ht="49.5">
      <c r="A25" s="17" t="s">
        <v>69</v>
      </c>
      <c r="B25" s="18" t="s">
        <v>50</v>
      </c>
      <c r="C25" s="18" t="s">
        <v>275</v>
      </c>
      <c r="D25" s="19" t="s">
        <v>10</v>
      </c>
      <c r="E25" s="20">
        <v>1131.5999999999999</v>
      </c>
      <c r="F25" s="21"/>
      <c r="G25" s="22">
        <f>ROUND(F25*E25,2)</f>
        <v>0</v>
      </c>
      <c r="I25" s="3"/>
      <c r="J25" s="3"/>
    </row>
    <row r="26" spans="1:10" s="1" customFormat="1">
      <c r="A26" s="115" t="s">
        <v>16</v>
      </c>
      <c r="B26" s="113"/>
      <c r="C26" s="113"/>
      <c r="D26" s="113"/>
      <c r="E26" s="113"/>
      <c r="F26" s="116"/>
      <c r="G26" s="23">
        <f>SUM(G23:G25)</f>
        <v>0</v>
      </c>
      <c r="I26" s="3"/>
      <c r="J26" s="3"/>
    </row>
    <row r="27" spans="1:10" s="1" customFormat="1">
      <c r="A27" s="15">
        <v>5</v>
      </c>
      <c r="B27" s="16"/>
      <c r="C27" s="112" t="s">
        <v>112</v>
      </c>
      <c r="D27" s="113"/>
      <c r="E27" s="113"/>
      <c r="F27" s="113"/>
      <c r="G27" s="114"/>
      <c r="I27" s="3"/>
      <c r="J27" s="3"/>
    </row>
    <row r="28" spans="1:10" s="1" customFormat="1" ht="50.25" customHeight="1">
      <c r="A28" s="17" t="s">
        <v>89</v>
      </c>
      <c r="B28" s="96" t="s">
        <v>75</v>
      </c>
      <c r="C28" s="18" t="s">
        <v>267</v>
      </c>
      <c r="D28" s="19" t="s">
        <v>37</v>
      </c>
      <c r="E28" s="20">
        <v>300</v>
      </c>
      <c r="F28" s="21"/>
      <c r="G28" s="22">
        <f>ROUND(F28*E28,2)</f>
        <v>0</v>
      </c>
      <c r="I28" s="3"/>
      <c r="J28" s="3"/>
    </row>
    <row r="29" spans="1:10" s="1" customFormat="1" ht="20.25" customHeight="1">
      <c r="A29" s="117" t="s">
        <v>119</v>
      </c>
      <c r="B29" s="118"/>
      <c r="C29" s="118"/>
      <c r="D29" s="118"/>
      <c r="E29" s="118"/>
      <c r="F29" s="119"/>
      <c r="G29" s="25">
        <f>SUM(G28:G28)</f>
        <v>0</v>
      </c>
      <c r="I29" s="3"/>
      <c r="J29" s="3"/>
    </row>
    <row r="30" spans="1:10" s="1" customFormat="1">
      <c r="A30" s="15">
        <v>6</v>
      </c>
      <c r="B30" s="16"/>
      <c r="C30" s="112" t="s">
        <v>118</v>
      </c>
      <c r="D30" s="113"/>
      <c r="E30" s="113"/>
      <c r="F30" s="113"/>
      <c r="G30" s="114"/>
      <c r="I30" s="3"/>
      <c r="J30" s="3"/>
    </row>
    <row r="31" spans="1:10" s="1" customFormat="1" ht="54.75" customHeight="1">
      <c r="A31" s="17" t="s">
        <v>354</v>
      </c>
      <c r="B31" s="96" t="s">
        <v>75</v>
      </c>
      <c r="C31" s="18" t="s">
        <v>268</v>
      </c>
      <c r="D31" s="19" t="s">
        <v>37</v>
      </c>
      <c r="E31" s="20">
        <v>36</v>
      </c>
      <c r="F31" s="21"/>
      <c r="G31" s="22">
        <f>ROUND(F31*E31,2)</f>
        <v>0</v>
      </c>
      <c r="I31" s="3"/>
      <c r="J31" s="3"/>
    </row>
    <row r="32" spans="1:10" s="1" customFormat="1" ht="75" customHeight="1">
      <c r="A32" s="17" t="s">
        <v>373</v>
      </c>
      <c r="B32" s="96" t="s">
        <v>75</v>
      </c>
      <c r="C32" s="18" t="s">
        <v>424</v>
      </c>
      <c r="D32" s="19" t="s">
        <v>68</v>
      </c>
      <c r="E32" s="20">
        <v>12</v>
      </c>
      <c r="F32" s="21"/>
      <c r="G32" s="22">
        <f>ROUND(F32*E32,2)</f>
        <v>0</v>
      </c>
      <c r="I32" s="3"/>
      <c r="J32" s="3"/>
    </row>
    <row r="33" spans="1:10" s="1" customFormat="1" ht="50.25" customHeight="1">
      <c r="A33" s="17" t="s">
        <v>374</v>
      </c>
      <c r="B33" s="96" t="s">
        <v>75</v>
      </c>
      <c r="C33" s="18" t="s">
        <v>200</v>
      </c>
      <c r="D33" s="19" t="s">
        <v>10</v>
      </c>
      <c r="E33" s="20">
        <v>20</v>
      </c>
      <c r="F33" s="21"/>
      <c r="G33" s="22">
        <f>ROUND(F33*E33,2)</f>
        <v>0</v>
      </c>
      <c r="I33" s="3"/>
      <c r="J33" s="3"/>
    </row>
    <row r="34" spans="1:10" s="1" customFormat="1" ht="20.25" customHeight="1">
      <c r="A34" s="117" t="s">
        <v>120</v>
      </c>
      <c r="B34" s="118"/>
      <c r="C34" s="118"/>
      <c r="D34" s="118"/>
      <c r="E34" s="118"/>
      <c r="F34" s="119"/>
      <c r="G34" s="25">
        <f>SUM(G31:G33)</f>
        <v>0</v>
      </c>
      <c r="I34" s="3"/>
      <c r="J34" s="3"/>
    </row>
    <row r="35" spans="1:10" s="1" customFormat="1">
      <c r="A35" s="15">
        <v>7</v>
      </c>
      <c r="B35" s="16"/>
      <c r="C35" s="112" t="s">
        <v>17</v>
      </c>
      <c r="D35" s="113"/>
      <c r="E35" s="113"/>
      <c r="F35" s="113"/>
      <c r="G35" s="114"/>
      <c r="I35" s="3"/>
      <c r="J35" s="3"/>
    </row>
    <row r="36" spans="1:10" s="1" customFormat="1" ht="50.25" customHeight="1">
      <c r="A36" s="17" t="s">
        <v>380</v>
      </c>
      <c r="B36" s="18" t="s">
        <v>52</v>
      </c>
      <c r="C36" s="18" t="s">
        <v>333</v>
      </c>
      <c r="D36" s="19" t="s">
        <v>37</v>
      </c>
      <c r="E36" s="20">
        <v>243</v>
      </c>
      <c r="F36" s="21"/>
      <c r="G36" s="22">
        <f>ROUND(F36*E36,2)</f>
        <v>0</v>
      </c>
      <c r="I36" s="3"/>
      <c r="J36" s="3"/>
    </row>
    <row r="37" spans="1:10" s="1" customFormat="1" ht="50.25" customHeight="1">
      <c r="A37" s="17" t="s">
        <v>367</v>
      </c>
      <c r="B37" s="18" t="s">
        <v>52</v>
      </c>
      <c r="C37" s="18" t="s">
        <v>269</v>
      </c>
      <c r="D37" s="19" t="s">
        <v>37</v>
      </c>
      <c r="E37" s="20">
        <v>600</v>
      </c>
      <c r="F37" s="21"/>
      <c r="G37" s="22">
        <f>ROUND(F37*E37,2)</f>
        <v>0</v>
      </c>
      <c r="I37" s="3"/>
      <c r="J37" s="3"/>
    </row>
    <row r="38" spans="1:10" ht="36.75" customHeight="1">
      <c r="A38" s="17" t="s">
        <v>368</v>
      </c>
      <c r="B38" s="18" t="s">
        <v>18</v>
      </c>
      <c r="C38" s="18" t="s">
        <v>270</v>
      </c>
      <c r="D38" s="19" t="s">
        <v>10</v>
      </c>
      <c r="E38" s="20">
        <v>382.5</v>
      </c>
      <c r="F38" s="21"/>
      <c r="G38" s="22">
        <f>ROUND(F38*E38,2)</f>
        <v>0</v>
      </c>
    </row>
    <row r="39" spans="1:10" ht="36.75" customHeight="1">
      <c r="A39" s="17" t="s">
        <v>369</v>
      </c>
      <c r="B39" s="18" t="s">
        <v>66</v>
      </c>
      <c r="C39" s="18" t="s">
        <v>67</v>
      </c>
      <c r="D39" s="19" t="s">
        <v>68</v>
      </c>
      <c r="E39" s="20">
        <v>1</v>
      </c>
      <c r="F39" s="21"/>
      <c r="G39" s="22">
        <f>ROUND(F39*E39,2)</f>
        <v>0</v>
      </c>
    </row>
    <row r="40" spans="1:10" ht="36.75" customHeight="1">
      <c r="A40" s="17" t="s">
        <v>375</v>
      </c>
      <c r="B40" s="18" t="s">
        <v>70</v>
      </c>
      <c r="C40" s="18" t="s">
        <v>236</v>
      </c>
      <c r="D40" s="19" t="s">
        <v>68</v>
      </c>
      <c r="E40" s="20">
        <v>1</v>
      </c>
      <c r="F40" s="21"/>
      <c r="G40" s="22">
        <f>ROUND(F40*E40,2)</f>
        <v>0</v>
      </c>
    </row>
    <row r="41" spans="1:10" ht="17.25" thickBot="1">
      <c r="A41" s="117" t="s">
        <v>19</v>
      </c>
      <c r="B41" s="118"/>
      <c r="C41" s="118"/>
      <c r="D41" s="118"/>
      <c r="E41" s="118"/>
      <c r="F41" s="119"/>
      <c r="G41" s="25">
        <f>SUM(G36:G40)</f>
        <v>0</v>
      </c>
    </row>
    <row r="42" spans="1:10" s="26" customFormat="1" ht="34.5" customHeight="1" thickTop="1">
      <c r="A42" s="120" t="s">
        <v>20</v>
      </c>
      <c r="B42" s="121"/>
      <c r="C42" s="121"/>
      <c r="D42" s="121"/>
      <c r="E42" s="121"/>
      <c r="F42" s="122">
        <f>+G41+G34+G29+G26+G21+G16+G11</f>
        <v>0</v>
      </c>
      <c r="G42" s="123"/>
      <c r="H42" s="1"/>
    </row>
    <row r="43" spans="1:10">
      <c r="A43" s="124" t="s">
        <v>21</v>
      </c>
      <c r="B43" s="125"/>
      <c r="C43" s="125"/>
      <c r="D43" s="125"/>
      <c r="E43" s="126"/>
      <c r="F43" s="127">
        <f>ROUND(F42*0.23,2)</f>
        <v>0</v>
      </c>
      <c r="G43" s="128"/>
    </row>
    <row r="44" spans="1:10" ht="42" customHeight="1" thickBot="1">
      <c r="A44" s="107" t="s">
        <v>404</v>
      </c>
      <c r="B44" s="108"/>
      <c r="C44" s="108"/>
      <c r="D44" s="108"/>
      <c r="E44" s="108"/>
      <c r="F44" s="109">
        <f>+F43+F42</f>
        <v>0</v>
      </c>
      <c r="G44" s="110"/>
    </row>
    <row r="45" spans="1:10" ht="17.25" thickTop="1"/>
    <row r="46" spans="1:10">
      <c r="C46" s="1"/>
      <c r="G46" s="1">
        <f>+F44</f>
        <v>0</v>
      </c>
    </row>
    <row r="47" spans="1:10" s="1" customFormat="1">
      <c r="A47" s="3"/>
      <c r="B47" s="3"/>
      <c r="C47" s="3"/>
      <c r="D47" s="27"/>
      <c r="E47" s="111">
        <f>+G46/0.3</f>
        <v>0</v>
      </c>
      <c r="F47" s="111"/>
      <c r="G47" s="1" t="s">
        <v>98</v>
      </c>
      <c r="I47" s="3"/>
      <c r="J47" s="3"/>
    </row>
  </sheetData>
  <mergeCells count="24">
    <mergeCell ref="C12:G12"/>
    <mergeCell ref="A1:G1"/>
    <mergeCell ref="A2:G2"/>
    <mergeCell ref="A3:G3"/>
    <mergeCell ref="C6:G6"/>
    <mergeCell ref="A11:F11"/>
    <mergeCell ref="A42:E42"/>
    <mergeCell ref="F42:G42"/>
    <mergeCell ref="A16:F16"/>
    <mergeCell ref="C17:G17"/>
    <mergeCell ref="A21:F21"/>
    <mergeCell ref="C22:G22"/>
    <mergeCell ref="A26:F26"/>
    <mergeCell ref="C27:G27"/>
    <mergeCell ref="A29:F29"/>
    <mergeCell ref="C30:G30"/>
    <mergeCell ref="A34:F34"/>
    <mergeCell ref="C35:G35"/>
    <mergeCell ref="A41:F41"/>
    <mergeCell ref="A43:E43"/>
    <mergeCell ref="F43:G43"/>
    <mergeCell ref="A44:E44"/>
    <mergeCell ref="F44:G44"/>
    <mergeCell ref="E47:F47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showGridLines="0" zoomScale="115" zoomScaleNormal="115" workbookViewId="0">
      <selection activeCell="F27" sqref="F27:F31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10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10" ht="23.25" customHeight="1">
      <c r="A2" s="133" t="s">
        <v>356</v>
      </c>
      <c r="B2" s="133"/>
      <c r="C2" s="133"/>
      <c r="D2" s="133"/>
      <c r="E2" s="133"/>
      <c r="F2" s="133"/>
      <c r="G2" s="133"/>
    </row>
    <row r="3" spans="1:10" ht="8.25" customHeight="1" thickBot="1">
      <c r="A3" s="134"/>
      <c r="B3" s="134"/>
      <c r="C3" s="134"/>
      <c r="D3" s="134"/>
      <c r="E3" s="134"/>
      <c r="F3" s="134"/>
      <c r="G3" s="134"/>
    </row>
    <row r="4" spans="1:10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10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10">
      <c r="A6" s="15">
        <v>1</v>
      </c>
      <c r="B6" s="16"/>
      <c r="C6" s="112" t="s">
        <v>125</v>
      </c>
      <c r="D6" s="113"/>
      <c r="E6" s="113"/>
      <c r="F6" s="113"/>
      <c r="G6" s="114"/>
    </row>
    <row r="7" spans="1:10" ht="33">
      <c r="A7" s="17" t="s">
        <v>7</v>
      </c>
      <c r="B7" s="18" t="s">
        <v>9</v>
      </c>
      <c r="C7" s="18" t="s">
        <v>92</v>
      </c>
      <c r="D7" s="19" t="s">
        <v>93</v>
      </c>
      <c r="E7" s="20">
        <v>0.16600000000000001</v>
      </c>
      <c r="F7" s="21"/>
      <c r="G7" s="22">
        <f t="shared" ref="G7:G8" si="0">ROUND(F7*E7,2)</f>
        <v>0</v>
      </c>
    </row>
    <row r="8" spans="1:10" ht="57.75" customHeight="1">
      <c r="A8" s="17" t="s">
        <v>8</v>
      </c>
      <c r="B8" s="18" t="s">
        <v>58</v>
      </c>
      <c r="C8" s="18" t="s">
        <v>276</v>
      </c>
      <c r="D8" s="19" t="s">
        <v>11</v>
      </c>
      <c r="E8" s="20">
        <v>79.5</v>
      </c>
      <c r="F8" s="21"/>
      <c r="G8" s="22">
        <f t="shared" si="0"/>
        <v>0</v>
      </c>
    </row>
    <row r="9" spans="1:10">
      <c r="A9" s="115" t="s">
        <v>126</v>
      </c>
      <c r="B9" s="113"/>
      <c r="C9" s="113"/>
      <c r="D9" s="113"/>
      <c r="E9" s="113"/>
      <c r="F9" s="116"/>
      <c r="G9" s="23">
        <f>SUM(G7:G8)</f>
        <v>0</v>
      </c>
    </row>
    <row r="10" spans="1:10">
      <c r="A10" s="15">
        <v>2</v>
      </c>
      <c r="B10" s="16"/>
      <c r="C10" s="112" t="s">
        <v>26</v>
      </c>
      <c r="D10" s="113"/>
      <c r="E10" s="113"/>
      <c r="F10" s="113"/>
      <c r="G10" s="114"/>
    </row>
    <row r="11" spans="1:10" ht="48" customHeight="1">
      <c r="A11" s="17" t="s">
        <v>348</v>
      </c>
      <c r="B11" s="18" t="s">
        <v>75</v>
      </c>
      <c r="C11" s="18" t="s">
        <v>277</v>
      </c>
      <c r="D11" s="19" t="s">
        <v>10</v>
      </c>
      <c r="E11" s="20">
        <v>265</v>
      </c>
      <c r="F11" s="21"/>
      <c r="G11" s="22">
        <f t="shared" ref="G11" si="1">ROUND(F11*E11,2)</f>
        <v>0</v>
      </c>
    </row>
    <row r="12" spans="1:10" ht="50.25" customHeight="1">
      <c r="A12" s="17" t="s">
        <v>25</v>
      </c>
      <c r="B12" s="24" t="s">
        <v>52</v>
      </c>
      <c r="C12" s="18" t="s">
        <v>278</v>
      </c>
      <c r="D12" s="19" t="s">
        <v>10</v>
      </c>
      <c r="E12" s="20">
        <v>265</v>
      </c>
      <c r="F12" s="21"/>
      <c r="G12" s="22">
        <f>ROUND(F12*E12,2)</f>
        <v>0</v>
      </c>
    </row>
    <row r="13" spans="1:10" ht="54" customHeight="1">
      <c r="A13" s="17" t="s">
        <v>53</v>
      </c>
      <c r="B13" s="24" t="s">
        <v>76</v>
      </c>
      <c r="C13" s="18" t="s">
        <v>279</v>
      </c>
      <c r="D13" s="19" t="s">
        <v>10</v>
      </c>
      <c r="E13" s="20">
        <f>+E11</f>
        <v>265</v>
      </c>
      <c r="F13" s="21"/>
      <c r="G13" s="22">
        <f>ROUND(F13*E13,2)</f>
        <v>0</v>
      </c>
    </row>
    <row r="14" spans="1:10">
      <c r="A14" s="115" t="s">
        <v>84</v>
      </c>
      <c r="B14" s="113"/>
      <c r="C14" s="113"/>
      <c r="D14" s="113"/>
      <c r="E14" s="113"/>
      <c r="F14" s="116"/>
      <c r="G14" s="23">
        <f>SUM(G11:G13)</f>
        <v>0</v>
      </c>
    </row>
    <row r="15" spans="1:10" s="1" customFormat="1">
      <c r="A15" s="15">
        <v>3</v>
      </c>
      <c r="B15" s="16"/>
      <c r="C15" s="112" t="s">
        <v>12</v>
      </c>
      <c r="D15" s="113"/>
      <c r="E15" s="113"/>
      <c r="F15" s="113"/>
      <c r="G15" s="114"/>
      <c r="I15" s="3"/>
      <c r="J15" s="3"/>
    </row>
    <row r="16" spans="1:10" ht="49.5">
      <c r="A16" s="17" t="s">
        <v>393</v>
      </c>
      <c r="B16" s="18" t="s">
        <v>15</v>
      </c>
      <c r="C16" s="18" t="s">
        <v>434</v>
      </c>
      <c r="D16" s="19" t="s">
        <v>10</v>
      </c>
      <c r="E16" s="20">
        <v>651</v>
      </c>
      <c r="F16" s="21"/>
      <c r="G16" s="22">
        <f>ROUND(F16*E16,2)</f>
        <v>0</v>
      </c>
    </row>
    <row r="17" spans="1:10" s="1" customFormat="1" ht="33">
      <c r="A17" s="17" t="s">
        <v>54</v>
      </c>
      <c r="B17" s="18" t="s">
        <v>50</v>
      </c>
      <c r="C17" s="18" t="s">
        <v>280</v>
      </c>
      <c r="D17" s="19" t="s">
        <v>10</v>
      </c>
      <c r="E17" s="20">
        <v>634</v>
      </c>
      <c r="F17" s="21"/>
      <c r="G17" s="22">
        <f>ROUND(F17*E17,2)</f>
        <v>0</v>
      </c>
      <c r="I17" s="3"/>
      <c r="J17" s="3"/>
    </row>
    <row r="18" spans="1:10" s="1" customFormat="1">
      <c r="A18" s="115" t="s">
        <v>16</v>
      </c>
      <c r="B18" s="113"/>
      <c r="C18" s="113"/>
      <c r="D18" s="113"/>
      <c r="E18" s="113"/>
      <c r="F18" s="116"/>
      <c r="G18" s="23">
        <f>SUM(G16:G17)</f>
        <v>0</v>
      </c>
      <c r="I18" s="3"/>
      <c r="J18" s="3"/>
    </row>
    <row r="19" spans="1:10" s="1" customFormat="1">
      <c r="A19" s="15">
        <v>4</v>
      </c>
      <c r="B19" s="16"/>
      <c r="C19" s="112" t="s">
        <v>112</v>
      </c>
      <c r="D19" s="113"/>
      <c r="E19" s="113"/>
      <c r="F19" s="113"/>
      <c r="G19" s="114"/>
      <c r="I19" s="3"/>
      <c r="J19" s="3"/>
    </row>
    <row r="20" spans="1:10" s="1" customFormat="1" ht="50.25" customHeight="1">
      <c r="A20" s="17" t="s">
        <v>394</v>
      </c>
      <c r="B20" s="96" t="s">
        <v>75</v>
      </c>
      <c r="C20" s="18" t="s">
        <v>267</v>
      </c>
      <c r="D20" s="19" t="s">
        <v>37</v>
      </c>
      <c r="E20" s="20">
        <v>300</v>
      </c>
      <c r="F20" s="21"/>
      <c r="G20" s="22">
        <f>ROUND(F20*E20,2)</f>
        <v>0</v>
      </c>
      <c r="I20" s="3"/>
      <c r="J20" s="3"/>
    </row>
    <row r="21" spans="1:10" s="1" customFormat="1" ht="20.25" customHeight="1">
      <c r="A21" s="117" t="s">
        <v>119</v>
      </c>
      <c r="B21" s="118"/>
      <c r="C21" s="118"/>
      <c r="D21" s="118"/>
      <c r="E21" s="118"/>
      <c r="F21" s="119"/>
      <c r="G21" s="25">
        <f>SUM(G20:G20)</f>
        <v>0</v>
      </c>
      <c r="I21" s="3"/>
      <c r="J21" s="3"/>
    </row>
    <row r="22" spans="1:10" s="1" customFormat="1">
      <c r="A22" s="15">
        <v>5</v>
      </c>
      <c r="B22" s="16"/>
      <c r="C22" s="112" t="s">
        <v>118</v>
      </c>
      <c r="D22" s="113"/>
      <c r="E22" s="113"/>
      <c r="F22" s="113"/>
      <c r="G22" s="114"/>
      <c r="I22" s="3"/>
      <c r="J22" s="3"/>
    </row>
    <row r="23" spans="1:10" s="1" customFormat="1" ht="54.75" customHeight="1">
      <c r="A23" s="17" t="s">
        <v>395</v>
      </c>
      <c r="B23" s="96" t="s">
        <v>75</v>
      </c>
      <c r="C23" s="18" t="s">
        <v>281</v>
      </c>
      <c r="D23" s="19" t="s">
        <v>37</v>
      </c>
      <c r="E23" s="20">
        <v>6</v>
      </c>
      <c r="F23" s="21"/>
      <c r="G23" s="22">
        <f>ROUND(F23*E23,2)</f>
        <v>0</v>
      </c>
      <c r="I23" s="3"/>
      <c r="J23" s="3"/>
    </row>
    <row r="24" spans="1:10" s="1" customFormat="1" ht="75" customHeight="1">
      <c r="A24" s="17" t="s">
        <v>350</v>
      </c>
      <c r="B24" s="96" t="s">
        <v>75</v>
      </c>
      <c r="C24" s="18" t="s">
        <v>282</v>
      </c>
      <c r="D24" s="19" t="s">
        <v>68</v>
      </c>
      <c r="E24" s="20">
        <v>5</v>
      </c>
      <c r="F24" s="21"/>
      <c r="G24" s="22">
        <f>ROUND(F24*E24,2)</f>
        <v>0</v>
      </c>
      <c r="I24" s="3"/>
      <c r="J24" s="3"/>
    </row>
    <row r="25" spans="1:10" s="1" customFormat="1" ht="20.25" customHeight="1">
      <c r="A25" s="117" t="s">
        <v>120</v>
      </c>
      <c r="B25" s="118"/>
      <c r="C25" s="118"/>
      <c r="D25" s="118"/>
      <c r="E25" s="118"/>
      <c r="F25" s="119"/>
      <c r="G25" s="25">
        <f>SUM(G23:G24)</f>
        <v>0</v>
      </c>
      <c r="I25" s="3"/>
      <c r="J25" s="3"/>
    </row>
    <row r="26" spans="1:10" s="1" customFormat="1">
      <c r="A26" s="15">
        <v>6</v>
      </c>
      <c r="B26" s="16"/>
      <c r="C26" s="112" t="s">
        <v>17</v>
      </c>
      <c r="D26" s="113"/>
      <c r="E26" s="113"/>
      <c r="F26" s="113"/>
      <c r="G26" s="114"/>
      <c r="I26" s="3"/>
      <c r="J26" s="3"/>
    </row>
    <row r="27" spans="1:10" s="1" customFormat="1" ht="50.25" customHeight="1">
      <c r="A27" s="17" t="s">
        <v>396</v>
      </c>
      <c r="B27" s="18" t="s">
        <v>52</v>
      </c>
      <c r="C27" s="18" t="s">
        <v>91</v>
      </c>
      <c r="D27" s="19" t="s">
        <v>37</v>
      </c>
      <c r="E27" s="20">
        <v>160</v>
      </c>
      <c r="F27" s="21"/>
      <c r="G27" s="22">
        <f>ROUND(F27*E27,2)</f>
        <v>0</v>
      </c>
      <c r="I27" s="3"/>
      <c r="J27" s="3"/>
    </row>
    <row r="28" spans="1:10" s="1" customFormat="1" ht="50.25" customHeight="1">
      <c r="A28" s="17" t="s">
        <v>351</v>
      </c>
      <c r="B28" s="18" t="s">
        <v>52</v>
      </c>
      <c r="C28" s="18" t="s">
        <v>283</v>
      </c>
      <c r="D28" s="19" t="s">
        <v>37</v>
      </c>
      <c r="E28" s="20">
        <v>338</v>
      </c>
      <c r="F28" s="21"/>
      <c r="G28" s="22">
        <f>ROUND(F28*E28,2)</f>
        <v>0</v>
      </c>
      <c r="I28" s="3"/>
      <c r="J28" s="3"/>
    </row>
    <row r="29" spans="1:10" ht="36.75" customHeight="1">
      <c r="A29" s="17" t="s">
        <v>352</v>
      </c>
      <c r="B29" s="18" t="s">
        <v>18</v>
      </c>
      <c r="C29" s="18" t="s">
        <v>284</v>
      </c>
      <c r="D29" s="19" t="s">
        <v>10</v>
      </c>
      <c r="E29" s="20">
        <v>253.5</v>
      </c>
      <c r="F29" s="21"/>
      <c r="G29" s="22">
        <f>ROUND(F29*E29,2)</f>
        <v>0</v>
      </c>
    </row>
    <row r="30" spans="1:10" ht="36.75" customHeight="1">
      <c r="A30" s="17" t="s">
        <v>353</v>
      </c>
      <c r="B30" s="18" t="s">
        <v>66</v>
      </c>
      <c r="C30" s="18" t="s">
        <v>67</v>
      </c>
      <c r="D30" s="19" t="s">
        <v>68</v>
      </c>
      <c r="E30" s="20">
        <v>1</v>
      </c>
      <c r="F30" s="21"/>
      <c r="G30" s="22">
        <f>ROUND(F30*E30,2)</f>
        <v>0</v>
      </c>
    </row>
    <row r="31" spans="1:10" ht="36.75" customHeight="1">
      <c r="A31" s="17" t="s">
        <v>354</v>
      </c>
      <c r="B31" s="18" t="s">
        <v>70</v>
      </c>
      <c r="C31" s="18" t="s">
        <v>285</v>
      </c>
      <c r="D31" s="19" t="s">
        <v>68</v>
      </c>
      <c r="E31" s="20">
        <v>1</v>
      </c>
      <c r="F31" s="21"/>
      <c r="G31" s="22">
        <f>ROUND(F31*E31,2)</f>
        <v>0</v>
      </c>
    </row>
    <row r="32" spans="1:10" ht="17.25" thickBot="1">
      <c r="A32" s="117" t="s">
        <v>19</v>
      </c>
      <c r="B32" s="118"/>
      <c r="C32" s="118"/>
      <c r="D32" s="118"/>
      <c r="E32" s="118"/>
      <c r="F32" s="119"/>
      <c r="G32" s="25">
        <f>SUM(G27:G31)</f>
        <v>0</v>
      </c>
    </row>
    <row r="33" spans="1:10" s="26" customFormat="1" ht="34.5" customHeight="1" thickTop="1">
      <c r="A33" s="120" t="s">
        <v>20</v>
      </c>
      <c r="B33" s="121"/>
      <c r="C33" s="121"/>
      <c r="D33" s="121"/>
      <c r="E33" s="121"/>
      <c r="F33" s="122">
        <f>+G32+G25+G21+G18+G14+G9</f>
        <v>0</v>
      </c>
      <c r="G33" s="123"/>
      <c r="H33" s="1"/>
    </row>
    <row r="34" spans="1:10">
      <c r="A34" s="124" t="s">
        <v>21</v>
      </c>
      <c r="B34" s="125"/>
      <c r="C34" s="125"/>
      <c r="D34" s="125"/>
      <c r="E34" s="126"/>
      <c r="F34" s="127">
        <f>ROUND(F33*0.23,2)</f>
        <v>0</v>
      </c>
      <c r="G34" s="128"/>
    </row>
    <row r="35" spans="1:10" ht="42" customHeight="1" thickBot="1">
      <c r="A35" s="107" t="s">
        <v>404</v>
      </c>
      <c r="B35" s="108"/>
      <c r="C35" s="108"/>
      <c r="D35" s="108"/>
      <c r="E35" s="108"/>
      <c r="F35" s="109">
        <f>+F34+F33</f>
        <v>0</v>
      </c>
      <c r="G35" s="110"/>
    </row>
    <row r="36" spans="1:10" ht="17.25" thickTop="1"/>
    <row r="37" spans="1:10">
      <c r="C37" s="1"/>
      <c r="G37" s="1">
        <f>+F35</f>
        <v>0</v>
      </c>
    </row>
    <row r="38" spans="1:10" s="1" customFormat="1">
      <c r="A38" s="3"/>
      <c r="B38" s="3"/>
      <c r="C38" s="3"/>
      <c r="D38" s="27"/>
      <c r="E38" s="111">
        <f>+G37/0.166</f>
        <v>0</v>
      </c>
      <c r="F38" s="111"/>
      <c r="G38" s="1" t="s">
        <v>98</v>
      </c>
      <c r="I38" s="3"/>
      <c r="J38" s="3"/>
    </row>
  </sheetData>
  <mergeCells count="22">
    <mergeCell ref="A34:E34"/>
    <mergeCell ref="F34:G34"/>
    <mergeCell ref="A35:E35"/>
    <mergeCell ref="F35:G35"/>
    <mergeCell ref="E38:F38"/>
    <mergeCell ref="A33:E33"/>
    <mergeCell ref="F33:G33"/>
    <mergeCell ref="C10:G10"/>
    <mergeCell ref="A14:F14"/>
    <mergeCell ref="C15:G15"/>
    <mergeCell ref="A18:F18"/>
    <mergeCell ref="C19:G19"/>
    <mergeCell ref="A21:F21"/>
    <mergeCell ref="C22:G22"/>
    <mergeCell ref="A25:F25"/>
    <mergeCell ref="C26:G26"/>
    <mergeCell ref="A32:F32"/>
    <mergeCell ref="A1:G1"/>
    <mergeCell ref="A2:G2"/>
    <mergeCell ref="A3:G3"/>
    <mergeCell ref="C6:G6"/>
    <mergeCell ref="A9:F9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showGridLines="0" zoomScale="115" zoomScaleNormal="115" workbookViewId="0">
      <selection activeCell="F41" sqref="F41:F42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8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8" ht="34.5" customHeight="1">
      <c r="A2" s="133" t="s">
        <v>355</v>
      </c>
      <c r="B2" s="133"/>
      <c r="C2" s="133"/>
      <c r="D2" s="133"/>
      <c r="E2" s="133"/>
      <c r="F2" s="133"/>
      <c r="G2" s="133"/>
    </row>
    <row r="3" spans="1:8" ht="15.75" customHeight="1" thickBot="1">
      <c r="A3" s="134"/>
      <c r="B3" s="134"/>
      <c r="C3" s="134"/>
      <c r="D3" s="134"/>
      <c r="E3" s="134"/>
      <c r="F3" s="134"/>
      <c r="G3" s="134"/>
    </row>
    <row r="4" spans="1:8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8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8">
      <c r="A6" s="15">
        <v>1</v>
      </c>
      <c r="B6" s="16"/>
      <c r="C6" s="112" t="s">
        <v>125</v>
      </c>
      <c r="D6" s="113"/>
      <c r="E6" s="113"/>
      <c r="F6" s="113"/>
      <c r="G6" s="114"/>
    </row>
    <row r="7" spans="1:8" ht="33">
      <c r="A7" s="17" t="s">
        <v>7</v>
      </c>
      <c r="B7" s="18" t="s">
        <v>9</v>
      </c>
      <c r="C7" s="18" t="s">
        <v>92</v>
      </c>
      <c r="D7" s="19" t="s">
        <v>93</v>
      </c>
      <c r="E7" s="20">
        <v>0.45</v>
      </c>
      <c r="F7" s="21"/>
      <c r="G7" s="22">
        <f t="shared" ref="G7:G11" si="0">ROUND(F7*E7,2)</f>
        <v>0</v>
      </c>
    </row>
    <row r="8" spans="1:8" ht="49.5">
      <c r="A8" s="17" t="s">
        <v>8</v>
      </c>
      <c r="B8" s="18" t="s">
        <v>9</v>
      </c>
      <c r="C8" s="18" t="s">
        <v>286</v>
      </c>
      <c r="D8" s="19" t="s">
        <v>10</v>
      </c>
      <c r="E8" s="20">
        <v>1171</v>
      </c>
      <c r="F8" s="21"/>
      <c r="G8" s="22">
        <f t="shared" si="0"/>
        <v>0</v>
      </c>
    </row>
    <row r="9" spans="1:8" ht="57.75" customHeight="1">
      <c r="A9" s="17" t="s">
        <v>38</v>
      </c>
      <c r="B9" s="18" t="s">
        <v>58</v>
      </c>
      <c r="C9" s="18" t="s">
        <v>289</v>
      </c>
      <c r="D9" s="19" t="s">
        <v>11</v>
      </c>
      <c r="E9" s="20">
        <v>231.1</v>
      </c>
      <c r="F9" s="21"/>
      <c r="G9" s="22">
        <f t="shared" si="0"/>
        <v>0</v>
      </c>
    </row>
    <row r="10" spans="1:8" ht="49.5">
      <c r="A10" s="17" t="s">
        <v>59</v>
      </c>
      <c r="B10" s="18" t="s">
        <v>75</v>
      </c>
      <c r="C10" s="18" t="s">
        <v>287</v>
      </c>
      <c r="D10" s="19" t="s">
        <v>11</v>
      </c>
      <c r="E10" s="20">
        <v>282</v>
      </c>
      <c r="F10" s="21"/>
      <c r="G10" s="22">
        <f t="shared" si="0"/>
        <v>0</v>
      </c>
    </row>
    <row r="11" spans="1:8" ht="48" customHeight="1">
      <c r="A11" s="17" t="s">
        <v>39</v>
      </c>
      <c r="B11" s="18" t="s">
        <v>75</v>
      </c>
      <c r="C11" s="18" t="s">
        <v>288</v>
      </c>
      <c r="D11" s="19" t="s">
        <v>10</v>
      </c>
      <c r="E11" s="20">
        <f>680.4+916.2</f>
        <v>1596.6</v>
      </c>
      <c r="F11" s="21"/>
      <c r="G11" s="22">
        <f t="shared" si="0"/>
        <v>0</v>
      </c>
    </row>
    <row r="12" spans="1:8">
      <c r="A12" s="115" t="s">
        <v>126</v>
      </c>
      <c r="B12" s="113"/>
      <c r="C12" s="113"/>
      <c r="D12" s="113"/>
      <c r="E12" s="113"/>
      <c r="F12" s="116"/>
      <c r="G12" s="23">
        <f>SUM(G7:G11)</f>
        <v>0</v>
      </c>
    </row>
    <row r="13" spans="1:8">
      <c r="A13" s="15">
        <v>2</v>
      </c>
      <c r="B13" s="16"/>
      <c r="C13" s="112" t="s">
        <v>23</v>
      </c>
      <c r="D13" s="113"/>
      <c r="E13" s="113"/>
      <c r="F13" s="113"/>
      <c r="G13" s="114"/>
    </row>
    <row r="14" spans="1:8" ht="50.25">
      <c r="A14" s="95" t="s">
        <v>56</v>
      </c>
      <c r="B14" s="24" t="s">
        <v>75</v>
      </c>
      <c r="C14" s="96" t="s">
        <v>290</v>
      </c>
      <c r="D14" s="97" t="s">
        <v>37</v>
      </c>
      <c r="E14" s="98">
        <v>8</v>
      </c>
      <c r="F14" s="99"/>
      <c r="G14" s="100">
        <f>ROUND(F14*E14,2)</f>
        <v>0</v>
      </c>
    </row>
    <row r="15" spans="1:8" ht="33" customHeight="1">
      <c r="A15" s="95" t="s">
        <v>60</v>
      </c>
      <c r="B15" s="24" t="s">
        <v>85</v>
      </c>
      <c r="C15" s="96" t="s">
        <v>136</v>
      </c>
      <c r="D15" s="97" t="s">
        <v>11</v>
      </c>
      <c r="E15" s="98">
        <v>2</v>
      </c>
      <c r="F15" s="99"/>
      <c r="G15" s="100">
        <f>ROUND(F15*E15,2)</f>
        <v>0</v>
      </c>
    </row>
    <row r="16" spans="1:8" ht="32.25" customHeight="1">
      <c r="A16" s="95" t="s">
        <v>61</v>
      </c>
      <c r="B16" s="96" t="s">
        <v>72</v>
      </c>
      <c r="C16" s="96" t="s">
        <v>291</v>
      </c>
      <c r="D16" s="97" t="s">
        <v>11</v>
      </c>
      <c r="E16" s="98">
        <v>36</v>
      </c>
      <c r="F16" s="99"/>
      <c r="G16" s="100">
        <f>ROUND(F16*E16,2)</f>
        <v>0</v>
      </c>
    </row>
    <row r="17" spans="1:10">
      <c r="A17" s="115" t="s">
        <v>140</v>
      </c>
      <c r="B17" s="113"/>
      <c r="C17" s="113"/>
      <c r="D17" s="113"/>
      <c r="E17" s="113"/>
      <c r="F17" s="116"/>
      <c r="G17" s="23">
        <f>SUM(G14:G16)</f>
        <v>0</v>
      </c>
    </row>
    <row r="18" spans="1:10" s="92" customFormat="1">
      <c r="A18" s="93">
        <v>3</v>
      </c>
      <c r="B18" s="94"/>
      <c r="C18" s="135" t="s">
        <v>127</v>
      </c>
      <c r="D18" s="130"/>
      <c r="E18" s="130"/>
      <c r="F18" s="130"/>
      <c r="G18" s="136"/>
      <c r="H18" s="91"/>
    </row>
    <row r="19" spans="1:10" s="92" customFormat="1" ht="45.75" customHeight="1">
      <c r="A19" s="17" t="s">
        <v>80</v>
      </c>
      <c r="B19" s="53" t="s">
        <v>52</v>
      </c>
      <c r="C19" s="18" t="s">
        <v>292</v>
      </c>
      <c r="D19" s="19" t="s">
        <v>10</v>
      </c>
      <c r="E19" s="20">
        <v>441</v>
      </c>
      <c r="F19" s="21"/>
      <c r="G19" s="22">
        <f t="shared" ref="G19:G21" si="1">ROUND(F19*E19,2)</f>
        <v>0</v>
      </c>
      <c r="H19" s="91"/>
    </row>
    <row r="20" spans="1:10" s="92" customFormat="1" ht="49.5" customHeight="1">
      <c r="A20" s="17" t="s">
        <v>63</v>
      </c>
      <c r="B20" s="53" t="s">
        <v>52</v>
      </c>
      <c r="C20" s="18" t="s">
        <v>293</v>
      </c>
      <c r="D20" s="19" t="s">
        <v>11</v>
      </c>
      <c r="E20" s="20">
        <v>17.5</v>
      </c>
      <c r="F20" s="21"/>
      <c r="G20" s="22">
        <f t="shared" si="1"/>
        <v>0</v>
      </c>
      <c r="H20" s="91"/>
    </row>
    <row r="21" spans="1:10" s="92" customFormat="1" ht="49.5" customHeight="1">
      <c r="A21" s="17" t="s">
        <v>64</v>
      </c>
      <c r="B21" s="53" t="s">
        <v>52</v>
      </c>
      <c r="C21" s="18" t="s">
        <v>294</v>
      </c>
      <c r="D21" s="19" t="s">
        <v>10</v>
      </c>
      <c r="E21" s="20">
        <v>680.4</v>
      </c>
      <c r="F21" s="21"/>
      <c r="G21" s="22">
        <f t="shared" si="1"/>
        <v>0</v>
      </c>
      <c r="H21" s="91"/>
    </row>
    <row r="22" spans="1:10" s="92" customFormat="1" ht="33" customHeight="1">
      <c r="A22" s="17" t="s">
        <v>73</v>
      </c>
      <c r="B22" s="24" t="s">
        <v>52</v>
      </c>
      <c r="C22" s="18" t="s">
        <v>295</v>
      </c>
      <c r="D22" s="19" t="s">
        <v>10</v>
      </c>
      <c r="E22" s="20">
        <v>680.4</v>
      </c>
      <c r="F22" s="21"/>
      <c r="G22" s="22">
        <f>ROUND(F22*E22,2)</f>
        <v>0</v>
      </c>
      <c r="H22" s="91"/>
    </row>
    <row r="23" spans="1:10" ht="50.25" customHeight="1">
      <c r="A23" s="17" t="s">
        <v>382</v>
      </c>
      <c r="B23" s="24" t="s">
        <v>52</v>
      </c>
      <c r="C23" s="18" t="s">
        <v>296</v>
      </c>
      <c r="D23" s="19" t="s">
        <v>10</v>
      </c>
      <c r="E23" s="20">
        <v>996.2</v>
      </c>
      <c r="F23" s="21"/>
      <c r="G23" s="22">
        <f>ROUND(F23*E23,2)</f>
        <v>0</v>
      </c>
    </row>
    <row r="24" spans="1:10" s="92" customFormat="1" ht="32.25" customHeight="1">
      <c r="A24" s="17" t="s">
        <v>397</v>
      </c>
      <c r="B24" s="24" t="s">
        <v>76</v>
      </c>
      <c r="C24" s="18" t="s">
        <v>297</v>
      </c>
      <c r="D24" s="19" t="s">
        <v>10</v>
      </c>
      <c r="E24" s="20">
        <v>1676.6</v>
      </c>
      <c r="F24" s="21"/>
      <c r="G24" s="22">
        <f>ROUND(F24*E24,2)</f>
        <v>0</v>
      </c>
      <c r="H24" s="91"/>
    </row>
    <row r="25" spans="1:10" s="92" customFormat="1">
      <c r="A25" s="129" t="s">
        <v>141</v>
      </c>
      <c r="B25" s="130"/>
      <c r="C25" s="130"/>
      <c r="D25" s="130"/>
      <c r="E25" s="130"/>
      <c r="F25" s="131"/>
      <c r="G25" s="101">
        <f>SUM(G19:G24)</f>
        <v>0</v>
      </c>
      <c r="H25" s="91"/>
    </row>
    <row r="26" spans="1:10">
      <c r="A26" s="15">
        <v>4</v>
      </c>
      <c r="B26" s="16"/>
      <c r="C26" s="112" t="s">
        <v>12</v>
      </c>
      <c r="D26" s="113"/>
      <c r="E26" s="113"/>
      <c r="F26" s="113"/>
      <c r="G26" s="114"/>
    </row>
    <row r="27" spans="1:10" s="1" customFormat="1" ht="51.75" customHeight="1">
      <c r="A27" s="17" t="s">
        <v>74</v>
      </c>
      <c r="B27" s="18" t="s">
        <v>81</v>
      </c>
      <c r="C27" s="18" t="s">
        <v>298</v>
      </c>
      <c r="D27" s="19" t="s">
        <v>14</v>
      </c>
      <c r="E27" s="20">
        <f>ROUND(1060*0.02*2.5+825*0.04*2.5,1)</f>
        <v>135.5</v>
      </c>
      <c r="F27" s="21"/>
      <c r="G27" s="22">
        <f>ROUND(F27*E27,2)</f>
        <v>0</v>
      </c>
      <c r="I27" s="3"/>
      <c r="J27" s="3"/>
    </row>
    <row r="28" spans="1:10" ht="42.75" customHeight="1">
      <c r="A28" s="17" t="s">
        <v>82</v>
      </c>
      <c r="B28" s="18" t="s">
        <v>50</v>
      </c>
      <c r="C28" s="18" t="s">
        <v>299</v>
      </c>
      <c r="D28" s="19" t="s">
        <v>10</v>
      </c>
      <c r="E28" s="20">
        <v>1838</v>
      </c>
      <c r="F28" s="21"/>
      <c r="G28" s="22">
        <f>ROUND(F28*E28,2)</f>
        <v>0</v>
      </c>
    </row>
    <row r="29" spans="1:10">
      <c r="A29" s="115" t="s">
        <v>16</v>
      </c>
      <c r="B29" s="113"/>
      <c r="C29" s="113"/>
      <c r="D29" s="113"/>
      <c r="E29" s="113"/>
      <c r="F29" s="116"/>
      <c r="G29" s="23">
        <f>SUM(G27:G28)</f>
        <v>0</v>
      </c>
    </row>
    <row r="30" spans="1:10">
      <c r="A30" s="15">
        <v>5</v>
      </c>
      <c r="B30" s="16"/>
      <c r="C30" s="112" t="s">
        <v>17</v>
      </c>
      <c r="D30" s="113"/>
      <c r="E30" s="113"/>
      <c r="F30" s="113"/>
      <c r="G30" s="114"/>
    </row>
    <row r="31" spans="1:10" ht="50.25" customHeight="1">
      <c r="A31" s="17" t="s">
        <v>79</v>
      </c>
      <c r="B31" s="18" t="s">
        <v>52</v>
      </c>
      <c r="C31" s="18" t="s">
        <v>328</v>
      </c>
      <c r="D31" s="19" t="s">
        <v>37</v>
      </c>
      <c r="E31" s="20">
        <v>502</v>
      </c>
      <c r="F31" s="21"/>
      <c r="G31" s="22">
        <f t="shared" ref="G31:G35" si="2">ROUND(F31*E31,2)</f>
        <v>0</v>
      </c>
    </row>
    <row r="32" spans="1:10" ht="50.25" customHeight="1">
      <c r="A32" s="17" t="s">
        <v>383</v>
      </c>
      <c r="B32" s="18" t="s">
        <v>52</v>
      </c>
      <c r="C32" s="18" t="s">
        <v>300</v>
      </c>
      <c r="D32" s="19" t="s">
        <v>37</v>
      </c>
      <c r="E32" s="20">
        <v>655</v>
      </c>
      <c r="F32" s="21"/>
      <c r="G32" s="22">
        <f t="shared" ref="G32" si="3">ROUND(F32*E32,2)</f>
        <v>0</v>
      </c>
    </row>
    <row r="33" spans="1:8" ht="49.5" customHeight="1">
      <c r="A33" s="17" t="s">
        <v>370</v>
      </c>
      <c r="B33" s="18" t="s">
        <v>18</v>
      </c>
      <c r="C33" s="18" t="s">
        <v>301</v>
      </c>
      <c r="D33" s="19" t="s">
        <v>10</v>
      </c>
      <c r="E33" s="20">
        <v>491.3</v>
      </c>
      <c r="F33" s="21"/>
      <c r="G33" s="22">
        <f t="shared" si="2"/>
        <v>0</v>
      </c>
    </row>
    <row r="34" spans="1:8" ht="36.75" customHeight="1">
      <c r="A34" s="17" t="s">
        <v>384</v>
      </c>
      <c r="B34" s="18" t="s">
        <v>66</v>
      </c>
      <c r="C34" s="18" t="s">
        <v>67</v>
      </c>
      <c r="D34" s="19" t="s">
        <v>68</v>
      </c>
      <c r="E34" s="20">
        <v>2</v>
      </c>
      <c r="F34" s="21"/>
      <c r="G34" s="22">
        <f t="shared" si="2"/>
        <v>0</v>
      </c>
    </row>
    <row r="35" spans="1:8" ht="36.75" customHeight="1">
      <c r="A35" s="17" t="s">
        <v>385</v>
      </c>
      <c r="B35" s="18" t="s">
        <v>70</v>
      </c>
      <c r="C35" s="18" t="s">
        <v>97</v>
      </c>
      <c r="D35" s="19" t="s">
        <v>68</v>
      </c>
      <c r="E35" s="20">
        <v>2</v>
      </c>
      <c r="F35" s="21"/>
      <c r="G35" s="22">
        <f t="shared" si="2"/>
        <v>0</v>
      </c>
    </row>
    <row r="36" spans="1:8" ht="20.25" customHeight="1">
      <c r="A36" s="117" t="s">
        <v>19</v>
      </c>
      <c r="B36" s="118"/>
      <c r="C36" s="118"/>
      <c r="D36" s="118"/>
      <c r="E36" s="118"/>
      <c r="F36" s="119"/>
      <c r="G36" s="25">
        <f>SUM(G31:G35)</f>
        <v>0</v>
      </c>
    </row>
    <row r="37" spans="1:8">
      <c r="A37" s="15">
        <v>6</v>
      </c>
      <c r="B37" s="16"/>
      <c r="C37" s="112" t="s">
        <v>146</v>
      </c>
      <c r="D37" s="113"/>
      <c r="E37" s="113"/>
      <c r="F37" s="113"/>
      <c r="G37" s="114"/>
    </row>
    <row r="38" spans="1:8" ht="64.5" customHeight="1">
      <c r="A38" s="17" t="s">
        <v>372</v>
      </c>
      <c r="B38" s="96" t="s">
        <v>75</v>
      </c>
      <c r="C38" s="18" t="s">
        <v>302</v>
      </c>
      <c r="D38" s="19" t="s">
        <v>37</v>
      </c>
      <c r="E38" s="20">
        <v>360</v>
      </c>
      <c r="F38" s="21"/>
      <c r="G38" s="22">
        <f>ROUND(F38*E38,2)</f>
        <v>0</v>
      </c>
    </row>
    <row r="39" spans="1:8" ht="20.25" customHeight="1">
      <c r="A39" s="117" t="s">
        <v>147</v>
      </c>
      <c r="B39" s="118"/>
      <c r="C39" s="118"/>
      <c r="D39" s="118"/>
      <c r="E39" s="118"/>
      <c r="F39" s="119"/>
      <c r="G39" s="25">
        <f>SUM(G38:G38)</f>
        <v>0</v>
      </c>
    </row>
    <row r="40" spans="1:8">
      <c r="A40" s="15">
        <v>7</v>
      </c>
      <c r="B40" s="16"/>
      <c r="C40" s="112" t="s">
        <v>151</v>
      </c>
      <c r="D40" s="113"/>
      <c r="E40" s="113"/>
      <c r="F40" s="113"/>
      <c r="G40" s="114"/>
    </row>
    <row r="41" spans="1:8" ht="54.75" customHeight="1">
      <c r="A41" s="17" t="s">
        <v>376</v>
      </c>
      <c r="B41" s="96" t="s">
        <v>75</v>
      </c>
      <c r="C41" s="18" t="s">
        <v>303</v>
      </c>
      <c r="D41" s="19" t="s">
        <v>37</v>
      </c>
      <c r="E41" s="20">
        <v>48</v>
      </c>
      <c r="F41" s="21"/>
      <c r="G41" s="22">
        <f>ROUND(F41*E41,2)</f>
        <v>0</v>
      </c>
    </row>
    <row r="42" spans="1:8" ht="61.5" customHeight="1">
      <c r="A42" s="17" t="s">
        <v>377</v>
      </c>
      <c r="B42" s="96" t="s">
        <v>75</v>
      </c>
      <c r="C42" s="18" t="s">
        <v>304</v>
      </c>
      <c r="D42" s="19" t="s">
        <v>10</v>
      </c>
      <c r="E42" s="20">
        <v>260</v>
      </c>
      <c r="F42" s="21"/>
      <c r="G42" s="22">
        <f>ROUND(F42*E42,2)</f>
        <v>0</v>
      </c>
    </row>
    <row r="43" spans="1:8" ht="20.25" customHeight="1" thickBot="1">
      <c r="A43" s="117" t="s">
        <v>120</v>
      </c>
      <c r="B43" s="118"/>
      <c r="C43" s="118"/>
      <c r="D43" s="118"/>
      <c r="E43" s="118"/>
      <c r="F43" s="119"/>
      <c r="G43" s="25">
        <f>SUM(G41:G42)</f>
        <v>0</v>
      </c>
    </row>
    <row r="44" spans="1:8" s="26" customFormat="1" ht="34.5" customHeight="1" thickTop="1">
      <c r="A44" s="120" t="s">
        <v>20</v>
      </c>
      <c r="B44" s="121"/>
      <c r="C44" s="121"/>
      <c r="D44" s="121"/>
      <c r="E44" s="121"/>
      <c r="F44" s="122">
        <f>+G43+G39+G36+G29+G25+G17+G12</f>
        <v>0</v>
      </c>
      <c r="G44" s="123"/>
      <c r="H44" s="1"/>
    </row>
    <row r="45" spans="1:8">
      <c r="A45" s="124" t="s">
        <v>21</v>
      </c>
      <c r="B45" s="125"/>
      <c r="C45" s="125"/>
      <c r="D45" s="125"/>
      <c r="E45" s="126"/>
      <c r="F45" s="127">
        <f>ROUND(F44*0.23,2)</f>
        <v>0</v>
      </c>
      <c r="G45" s="128"/>
    </row>
    <row r="46" spans="1:8" ht="42" customHeight="1" thickBot="1">
      <c r="A46" s="107" t="s">
        <v>404</v>
      </c>
      <c r="B46" s="108"/>
      <c r="C46" s="108"/>
      <c r="D46" s="108"/>
      <c r="E46" s="108"/>
      <c r="F46" s="109">
        <f>+F45+F44</f>
        <v>0</v>
      </c>
      <c r="G46" s="110"/>
    </row>
    <row r="47" spans="1:8" ht="17.25" thickTop="1"/>
    <row r="48" spans="1:8">
      <c r="C48" s="1"/>
      <c r="G48" s="1">
        <f>+F46</f>
        <v>0</v>
      </c>
    </row>
    <row r="49" spans="1:7" s="1" customFormat="1">
      <c r="A49" s="3"/>
      <c r="B49" s="3"/>
      <c r="C49" s="3"/>
      <c r="D49" s="27"/>
      <c r="E49" s="111">
        <f>+G48/E7</f>
        <v>0</v>
      </c>
      <c r="F49" s="111"/>
      <c r="G49" s="1" t="s">
        <v>98</v>
      </c>
    </row>
  </sheetData>
  <mergeCells count="24">
    <mergeCell ref="A45:E45"/>
    <mergeCell ref="F45:G45"/>
    <mergeCell ref="A46:E46"/>
    <mergeCell ref="F46:G46"/>
    <mergeCell ref="E49:F49"/>
    <mergeCell ref="A44:E44"/>
    <mergeCell ref="F44:G44"/>
    <mergeCell ref="A17:F17"/>
    <mergeCell ref="C18:G18"/>
    <mergeCell ref="A25:F25"/>
    <mergeCell ref="C26:G26"/>
    <mergeCell ref="A29:F29"/>
    <mergeCell ref="C30:G30"/>
    <mergeCell ref="A36:F36"/>
    <mergeCell ref="C37:G37"/>
    <mergeCell ref="A39:F39"/>
    <mergeCell ref="C40:G40"/>
    <mergeCell ref="A43:F43"/>
    <mergeCell ref="C13:G13"/>
    <mergeCell ref="A1:G1"/>
    <mergeCell ref="A2:G2"/>
    <mergeCell ref="A3:G3"/>
    <mergeCell ref="C6:G6"/>
    <mergeCell ref="A12:F12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showGridLines="0" zoomScale="115" zoomScaleNormal="115" workbookViewId="0">
      <selection activeCell="B19" sqref="B19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8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8" ht="34.5" customHeight="1">
      <c r="A2" s="133" t="s">
        <v>442</v>
      </c>
      <c r="B2" s="133"/>
      <c r="C2" s="133"/>
      <c r="D2" s="133"/>
      <c r="E2" s="133"/>
      <c r="F2" s="133"/>
      <c r="G2" s="133"/>
    </row>
    <row r="3" spans="1:8" ht="15.75" customHeight="1" thickBot="1">
      <c r="A3" s="134"/>
      <c r="B3" s="134"/>
      <c r="C3" s="134"/>
      <c r="D3" s="134"/>
      <c r="E3" s="134"/>
      <c r="F3" s="134"/>
      <c r="G3" s="134"/>
    </row>
    <row r="4" spans="1:8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8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8">
      <c r="A6" s="15">
        <v>1</v>
      </c>
      <c r="B6" s="16"/>
      <c r="C6" s="112" t="s">
        <v>125</v>
      </c>
      <c r="D6" s="113"/>
      <c r="E6" s="113"/>
      <c r="F6" s="113"/>
      <c r="G6" s="114"/>
    </row>
    <row r="7" spans="1:8" ht="33">
      <c r="A7" s="17" t="s">
        <v>7</v>
      </c>
      <c r="B7" s="18" t="s">
        <v>9</v>
      </c>
      <c r="C7" s="18" t="s">
        <v>92</v>
      </c>
      <c r="D7" s="19" t="s">
        <v>93</v>
      </c>
      <c r="E7" s="20">
        <v>0.14499999999999999</v>
      </c>
      <c r="F7" s="21"/>
      <c r="G7" s="22">
        <f t="shared" ref="G7:G11" si="0">ROUND(F7*E7,2)</f>
        <v>0</v>
      </c>
    </row>
    <row r="8" spans="1:8" ht="49.5">
      <c r="A8" s="17" t="s">
        <v>8</v>
      </c>
      <c r="B8" s="18" t="s">
        <v>9</v>
      </c>
      <c r="C8" s="18" t="s">
        <v>319</v>
      </c>
      <c r="D8" s="19" t="s">
        <v>10</v>
      </c>
      <c r="E8" s="20">
        <v>390</v>
      </c>
      <c r="F8" s="21"/>
      <c r="G8" s="22">
        <f t="shared" si="0"/>
        <v>0</v>
      </c>
    </row>
    <row r="9" spans="1:8" ht="67.5" customHeight="1">
      <c r="A9" s="17" t="s">
        <v>38</v>
      </c>
      <c r="B9" s="18" t="s">
        <v>58</v>
      </c>
      <c r="C9" s="18" t="s">
        <v>320</v>
      </c>
      <c r="D9" s="19" t="s">
        <v>11</v>
      </c>
      <c r="E9" s="20">
        <f>78.4+18</f>
        <v>96.4</v>
      </c>
      <c r="F9" s="21"/>
      <c r="G9" s="22">
        <f t="shared" si="0"/>
        <v>0</v>
      </c>
    </row>
    <row r="10" spans="1:8" ht="49.5">
      <c r="A10" s="17" t="s">
        <v>59</v>
      </c>
      <c r="B10" s="18" t="s">
        <v>75</v>
      </c>
      <c r="C10" s="18" t="s">
        <v>322</v>
      </c>
      <c r="D10" s="19" t="s">
        <v>11</v>
      </c>
      <c r="E10" s="20">
        <v>10</v>
      </c>
      <c r="F10" s="21"/>
      <c r="G10" s="22">
        <f t="shared" si="0"/>
        <v>0</v>
      </c>
    </row>
    <row r="11" spans="1:8" ht="48" customHeight="1">
      <c r="A11" s="17" t="s">
        <v>39</v>
      </c>
      <c r="B11" s="18" t="s">
        <v>75</v>
      </c>
      <c r="C11" s="18" t="s">
        <v>321</v>
      </c>
      <c r="D11" s="19">
        <v>2</v>
      </c>
      <c r="E11" s="20">
        <v>390</v>
      </c>
      <c r="F11" s="21"/>
      <c r="G11" s="22">
        <f t="shared" si="0"/>
        <v>0</v>
      </c>
    </row>
    <row r="12" spans="1:8">
      <c r="A12" s="115" t="s">
        <v>126</v>
      </c>
      <c r="B12" s="113"/>
      <c r="C12" s="113"/>
      <c r="D12" s="113"/>
      <c r="E12" s="113"/>
      <c r="F12" s="116"/>
      <c r="G12" s="23">
        <f>SUM(G7:G11)</f>
        <v>0</v>
      </c>
    </row>
    <row r="13" spans="1:8">
      <c r="A13" s="15">
        <v>2</v>
      </c>
      <c r="B13" s="16"/>
      <c r="C13" s="112" t="s">
        <v>23</v>
      </c>
      <c r="D13" s="113"/>
      <c r="E13" s="113"/>
      <c r="F13" s="113"/>
      <c r="G13" s="114"/>
    </row>
    <row r="14" spans="1:8" ht="33" customHeight="1">
      <c r="A14" s="17" t="s">
        <v>56</v>
      </c>
      <c r="B14" s="18" t="s">
        <v>75</v>
      </c>
      <c r="C14" s="18" t="s">
        <v>413</v>
      </c>
      <c r="D14" s="19" t="s">
        <v>10</v>
      </c>
      <c r="E14" s="20">
        <v>9</v>
      </c>
      <c r="F14" s="21"/>
      <c r="G14" s="22">
        <f>ROUND(F14*E14,2)</f>
        <v>0</v>
      </c>
    </row>
    <row r="15" spans="1:8" ht="50.25" customHeight="1">
      <c r="A15" s="17"/>
      <c r="B15" s="18" t="s">
        <v>58</v>
      </c>
      <c r="C15" s="18" t="s">
        <v>414</v>
      </c>
      <c r="D15" s="19" t="s">
        <v>11</v>
      </c>
      <c r="E15" s="20">
        <v>24</v>
      </c>
      <c r="F15" s="21"/>
      <c r="G15" s="22">
        <f t="shared" ref="G15" si="1">ROUND(F15*E15,2)</f>
        <v>0</v>
      </c>
    </row>
    <row r="16" spans="1:8" ht="33" customHeight="1">
      <c r="A16" s="17" t="s">
        <v>56</v>
      </c>
      <c r="B16" s="18" t="s">
        <v>75</v>
      </c>
      <c r="C16" s="18" t="s">
        <v>435</v>
      </c>
      <c r="D16" s="19" t="s">
        <v>37</v>
      </c>
      <c r="E16" s="20">
        <v>9</v>
      </c>
      <c r="F16" s="21"/>
      <c r="G16" s="22">
        <f>ROUND(F16*E16,2)</f>
        <v>0</v>
      </c>
    </row>
    <row r="17" spans="1:10" ht="33" customHeight="1">
      <c r="A17" s="17" t="s">
        <v>61</v>
      </c>
      <c r="B17" s="24" t="s">
        <v>85</v>
      </c>
      <c r="C17" s="96" t="s">
        <v>136</v>
      </c>
      <c r="D17" s="97" t="s">
        <v>11</v>
      </c>
      <c r="E17" s="98">
        <v>2</v>
      </c>
      <c r="F17" s="99"/>
      <c r="G17" s="100">
        <f>ROUND(F17*E17,2)</f>
        <v>0</v>
      </c>
    </row>
    <row r="18" spans="1:10" ht="32.25" customHeight="1">
      <c r="A18" s="17" t="s">
        <v>398</v>
      </c>
      <c r="B18" s="96" t="s">
        <v>72</v>
      </c>
      <c r="C18" s="96" t="s">
        <v>415</v>
      </c>
      <c r="D18" s="97" t="s">
        <v>11</v>
      </c>
      <c r="E18" s="98">
        <v>24</v>
      </c>
      <c r="F18" s="99"/>
      <c r="G18" s="100">
        <f>ROUND(F18*E18,2)</f>
        <v>0</v>
      </c>
    </row>
    <row r="19" spans="1:10" ht="33" customHeight="1">
      <c r="A19" s="95" t="s">
        <v>62</v>
      </c>
      <c r="B19" s="96" t="s">
        <v>75</v>
      </c>
      <c r="C19" s="96" t="s">
        <v>314</v>
      </c>
      <c r="D19" s="97" t="s">
        <v>68</v>
      </c>
      <c r="E19" s="98">
        <v>3</v>
      </c>
      <c r="F19" s="99"/>
      <c r="G19" s="100">
        <f>ROUND(F19*E19,2)</f>
        <v>0</v>
      </c>
    </row>
    <row r="20" spans="1:10" ht="32.25" customHeight="1">
      <c r="A20" s="17" t="s">
        <v>398</v>
      </c>
      <c r="B20" s="96" t="s">
        <v>72</v>
      </c>
      <c r="C20" s="96" t="s">
        <v>313</v>
      </c>
      <c r="D20" s="97" t="s">
        <v>11</v>
      </c>
      <c r="E20" s="98">
        <v>36</v>
      </c>
      <c r="F20" s="99"/>
      <c r="G20" s="100">
        <f>ROUND(F20*E20,2)</f>
        <v>0</v>
      </c>
    </row>
    <row r="21" spans="1:10">
      <c r="A21" s="115" t="s">
        <v>140</v>
      </c>
      <c r="B21" s="113"/>
      <c r="C21" s="113"/>
      <c r="D21" s="113"/>
      <c r="E21" s="113"/>
      <c r="F21" s="116"/>
      <c r="G21" s="23">
        <f>SUM(G14:G20)</f>
        <v>0</v>
      </c>
    </row>
    <row r="22" spans="1:10" s="92" customFormat="1">
      <c r="A22" s="93">
        <v>3</v>
      </c>
      <c r="B22" s="94"/>
      <c r="C22" s="135" t="s">
        <v>127</v>
      </c>
      <c r="D22" s="130"/>
      <c r="E22" s="130"/>
      <c r="F22" s="130"/>
      <c r="G22" s="136"/>
      <c r="H22" s="91"/>
    </row>
    <row r="23" spans="1:10" s="92" customFormat="1" ht="45.75" customHeight="1">
      <c r="A23" s="17" t="s">
        <v>64</v>
      </c>
      <c r="B23" s="53" t="s">
        <v>52</v>
      </c>
      <c r="C23" s="18" t="s">
        <v>315</v>
      </c>
      <c r="D23" s="19" t="s">
        <v>10</v>
      </c>
      <c r="E23" s="20">
        <v>19.2</v>
      </c>
      <c r="F23" s="21"/>
      <c r="G23" s="22">
        <f t="shared" ref="G23:G25" si="2">ROUND(F23*E23,2)</f>
        <v>0</v>
      </c>
      <c r="H23" s="91"/>
    </row>
    <row r="24" spans="1:10" s="92" customFormat="1" ht="49.5" customHeight="1">
      <c r="A24" s="17" t="s">
        <v>73</v>
      </c>
      <c r="B24" s="53" t="s">
        <v>52</v>
      </c>
      <c r="C24" s="18" t="s">
        <v>316</v>
      </c>
      <c r="D24" s="19" t="s">
        <v>11</v>
      </c>
      <c r="E24" s="20">
        <v>3.2</v>
      </c>
      <c r="F24" s="21"/>
      <c r="G24" s="22">
        <f t="shared" si="2"/>
        <v>0</v>
      </c>
      <c r="H24" s="91"/>
    </row>
    <row r="25" spans="1:10" s="92" customFormat="1" ht="49.5" customHeight="1">
      <c r="A25" s="17" t="s">
        <v>382</v>
      </c>
      <c r="B25" s="53" t="s">
        <v>52</v>
      </c>
      <c r="C25" s="18" t="s">
        <v>317</v>
      </c>
      <c r="D25" s="19" t="s">
        <v>10</v>
      </c>
      <c r="E25" s="20">
        <v>231.1</v>
      </c>
      <c r="F25" s="21"/>
      <c r="G25" s="22">
        <f t="shared" si="2"/>
        <v>0</v>
      </c>
      <c r="H25" s="91"/>
    </row>
    <row r="26" spans="1:10" s="92" customFormat="1" ht="33" customHeight="1">
      <c r="A26" s="17" t="s">
        <v>397</v>
      </c>
      <c r="B26" s="24" t="s">
        <v>52</v>
      </c>
      <c r="C26" s="18" t="s">
        <v>318</v>
      </c>
      <c r="D26" s="19" t="s">
        <v>10</v>
      </c>
      <c r="E26" s="20">
        <v>231.1</v>
      </c>
      <c r="F26" s="21"/>
      <c r="G26" s="22">
        <f>ROUND(F26*E26,2)</f>
        <v>0</v>
      </c>
      <c r="H26" s="91"/>
    </row>
    <row r="27" spans="1:10" ht="50.25" customHeight="1">
      <c r="A27" s="17" t="s">
        <v>399</v>
      </c>
      <c r="B27" s="24" t="s">
        <v>52</v>
      </c>
      <c r="C27" s="18" t="s">
        <v>436</v>
      </c>
      <c r="D27" s="19" t="s">
        <v>10</v>
      </c>
      <c r="E27" s="20">
        <f>159+20+16.8</f>
        <v>195.8</v>
      </c>
      <c r="F27" s="21"/>
      <c r="G27" s="22">
        <f>ROUND(F27*E27,2)</f>
        <v>0</v>
      </c>
    </row>
    <row r="28" spans="1:10" s="92" customFormat="1" ht="32.25" customHeight="1">
      <c r="A28" s="17" t="s">
        <v>400</v>
      </c>
      <c r="B28" s="24" t="s">
        <v>76</v>
      </c>
      <c r="C28" s="18" t="s">
        <v>437</v>
      </c>
      <c r="D28" s="19" t="s">
        <v>10</v>
      </c>
      <c r="E28" s="20">
        <v>431.3</v>
      </c>
      <c r="F28" s="21"/>
      <c r="G28" s="22">
        <f>ROUND(F28*E28,2)</f>
        <v>0</v>
      </c>
      <c r="H28" s="91"/>
    </row>
    <row r="29" spans="1:10" s="92" customFormat="1">
      <c r="A29" s="129" t="s">
        <v>141</v>
      </c>
      <c r="B29" s="130"/>
      <c r="C29" s="130"/>
      <c r="D29" s="130"/>
      <c r="E29" s="130"/>
      <c r="F29" s="131"/>
      <c r="G29" s="101">
        <f>SUM(G23:G28)</f>
        <v>0</v>
      </c>
      <c r="H29" s="91"/>
    </row>
    <row r="30" spans="1:10">
      <c r="A30" s="15">
        <v>4</v>
      </c>
      <c r="B30" s="16"/>
      <c r="C30" s="112" t="s">
        <v>12</v>
      </c>
      <c r="D30" s="113"/>
      <c r="E30" s="113"/>
      <c r="F30" s="113"/>
      <c r="G30" s="114"/>
    </row>
    <row r="31" spans="1:10" s="1" customFormat="1" ht="51.75" customHeight="1">
      <c r="A31" s="17" t="s">
        <v>83</v>
      </c>
      <c r="B31" s="24" t="s">
        <v>52</v>
      </c>
      <c r="C31" s="18" t="s">
        <v>438</v>
      </c>
      <c r="D31" s="19" t="s">
        <v>10</v>
      </c>
      <c r="E31" s="20">
        <v>35.6</v>
      </c>
      <c r="F31" s="21"/>
      <c r="G31" s="22">
        <f>ROUND(F31*E31,2)</f>
        <v>0</v>
      </c>
      <c r="I31" s="3"/>
      <c r="J31" s="3"/>
    </row>
    <row r="32" spans="1:10" s="1" customFormat="1" ht="51.75" customHeight="1">
      <c r="A32" s="17" t="s">
        <v>87</v>
      </c>
      <c r="B32" s="18" t="s">
        <v>81</v>
      </c>
      <c r="C32" s="18" t="s">
        <v>323</v>
      </c>
      <c r="D32" s="19" t="s">
        <v>14</v>
      </c>
      <c r="E32" s="20">
        <f>228.7+46.9</f>
        <v>275.59999999999997</v>
      </c>
      <c r="F32" s="21"/>
      <c r="G32" s="22">
        <f>ROUND(F32*E32,2)</f>
        <v>0</v>
      </c>
      <c r="I32" s="3"/>
      <c r="J32" s="3"/>
    </row>
    <row r="33" spans="1:10" ht="42.75" customHeight="1">
      <c r="A33" s="17" t="s">
        <v>401</v>
      </c>
      <c r="B33" s="18" t="s">
        <v>50</v>
      </c>
      <c r="C33" s="18" t="s">
        <v>324</v>
      </c>
      <c r="D33" s="19" t="s">
        <v>10</v>
      </c>
      <c r="E33" s="20">
        <v>3469.5</v>
      </c>
      <c r="F33" s="21"/>
      <c r="G33" s="22">
        <f>ROUND(F33*E33,2)</f>
        <v>0</v>
      </c>
    </row>
    <row r="34" spans="1:10">
      <c r="A34" s="115" t="s">
        <v>16</v>
      </c>
      <c r="B34" s="113"/>
      <c r="C34" s="113"/>
      <c r="D34" s="113"/>
      <c r="E34" s="113"/>
      <c r="F34" s="116"/>
      <c r="G34" s="23">
        <f>SUM(G31:G33)</f>
        <v>0</v>
      </c>
    </row>
    <row r="35" spans="1:10">
      <c r="A35" s="15">
        <v>5</v>
      </c>
      <c r="B35" s="16"/>
      <c r="C35" s="112" t="s">
        <v>17</v>
      </c>
      <c r="D35" s="113"/>
      <c r="E35" s="113"/>
      <c r="F35" s="113"/>
      <c r="G35" s="114"/>
    </row>
    <row r="36" spans="1:10" ht="50.25" customHeight="1">
      <c r="A36" s="17" t="s">
        <v>384</v>
      </c>
      <c r="B36" s="18" t="s">
        <v>52</v>
      </c>
      <c r="C36" s="18" t="s">
        <v>335</v>
      </c>
      <c r="D36" s="19" t="s">
        <v>37</v>
      </c>
      <c r="E36" s="20">
        <v>551</v>
      </c>
      <c r="F36" s="21"/>
      <c r="G36" s="22">
        <f t="shared" ref="G36:G39" si="3">ROUND(F36*E36,2)</f>
        <v>0</v>
      </c>
    </row>
    <row r="37" spans="1:10" ht="50.25" customHeight="1">
      <c r="A37" s="17" t="s">
        <v>385</v>
      </c>
      <c r="B37" s="18" t="s">
        <v>52</v>
      </c>
      <c r="C37" s="18" t="s">
        <v>325</v>
      </c>
      <c r="D37" s="19" t="s">
        <v>37</v>
      </c>
      <c r="E37" s="20">
        <v>1340</v>
      </c>
      <c r="F37" s="21"/>
      <c r="G37" s="22">
        <f t="shared" ref="G37" si="4">ROUND(F37*E37,2)</f>
        <v>0</v>
      </c>
    </row>
    <row r="38" spans="1:10" ht="36.75" customHeight="1">
      <c r="A38" s="17" t="s">
        <v>90</v>
      </c>
      <c r="B38" s="18" t="s">
        <v>66</v>
      </c>
      <c r="C38" s="18" t="s">
        <v>67</v>
      </c>
      <c r="D38" s="19" t="s">
        <v>68</v>
      </c>
      <c r="E38" s="20">
        <v>12</v>
      </c>
      <c r="F38" s="21"/>
      <c r="G38" s="22">
        <f t="shared" si="3"/>
        <v>0</v>
      </c>
    </row>
    <row r="39" spans="1:10" ht="36.75" customHeight="1">
      <c r="A39" s="17" t="s">
        <v>88</v>
      </c>
      <c r="B39" s="18" t="s">
        <v>70</v>
      </c>
      <c r="C39" s="18" t="s">
        <v>326</v>
      </c>
      <c r="D39" s="19" t="s">
        <v>68</v>
      </c>
      <c r="E39" s="20">
        <v>12</v>
      </c>
      <c r="F39" s="21"/>
      <c r="G39" s="22">
        <f t="shared" si="3"/>
        <v>0</v>
      </c>
    </row>
    <row r="40" spans="1:10" ht="20.25" customHeight="1">
      <c r="A40" s="117" t="s">
        <v>19</v>
      </c>
      <c r="B40" s="118"/>
      <c r="C40" s="118"/>
      <c r="D40" s="118"/>
      <c r="E40" s="118"/>
      <c r="F40" s="119"/>
      <c r="G40" s="25">
        <f>SUM(G36:G39)</f>
        <v>0</v>
      </c>
    </row>
    <row r="41" spans="1:10">
      <c r="A41" s="15">
        <v>6</v>
      </c>
      <c r="B41" s="16"/>
      <c r="C41" s="112" t="s">
        <v>151</v>
      </c>
      <c r="D41" s="113"/>
      <c r="E41" s="113"/>
      <c r="F41" s="113"/>
      <c r="G41" s="114"/>
    </row>
    <row r="42" spans="1:10" s="1" customFormat="1" ht="50.25" customHeight="1">
      <c r="A42" s="17" t="s">
        <v>402</v>
      </c>
      <c r="B42" s="96" t="s">
        <v>75</v>
      </c>
      <c r="C42" s="18" t="s">
        <v>238</v>
      </c>
      <c r="D42" s="19" t="s">
        <v>10</v>
      </c>
      <c r="E42" s="20">
        <v>40</v>
      </c>
      <c r="F42" s="21"/>
      <c r="G42" s="22">
        <f>ROUND(F42*E42,2)</f>
        <v>0</v>
      </c>
      <c r="I42" s="3"/>
      <c r="J42" s="3"/>
    </row>
    <row r="43" spans="1:10" ht="61.5" customHeight="1">
      <c r="A43" s="17" t="s">
        <v>403</v>
      </c>
      <c r="B43" s="96" t="s">
        <v>75</v>
      </c>
      <c r="C43" s="18" t="s">
        <v>327</v>
      </c>
      <c r="D43" s="19" t="s">
        <v>10</v>
      </c>
      <c r="E43" s="20">
        <v>260</v>
      </c>
      <c r="F43" s="21"/>
      <c r="G43" s="22">
        <f>ROUND(F43*E43,2)</f>
        <v>0</v>
      </c>
    </row>
    <row r="44" spans="1:10" ht="20.25" customHeight="1" thickBot="1">
      <c r="A44" s="117" t="s">
        <v>120</v>
      </c>
      <c r="B44" s="118"/>
      <c r="C44" s="118"/>
      <c r="D44" s="118"/>
      <c r="E44" s="118"/>
      <c r="F44" s="119"/>
      <c r="G44" s="25">
        <f>SUM(G42:G43)</f>
        <v>0</v>
      </c>
    </row>
    <row r="45" spans="1:10" s="26" customFormat="1" ht="34.5" customHeight="1" thickTop="1">
      <c r="A45" s="120" t="s">
        <v>20</v>
      </c>
      <c r="B45" s="121"/>
      <c r="C45" s="121"/>
      <c r="D45" s="121"/>
      <c r="E45" s="121"/>
      <c r="F45" s="122">
        <f>+G44+G40+G34+G29+G21+G12</f>
        <v>0</v>
      </c>
      <c r="G45" s="123"/>
      <c r="H45" s="1"/>
    </row>
    <row r="46" spans="1:10">
      <c r="A46" s="124" t="s">
        <v>21</v>
      </c>
      <c r="B46" s="125"/>
      <c r="C46" s="125"/>
      <c r="D46" s="125"/>
      <c r="E46" s="126"/>
      <c r="F46" s="127">
        <f>ROUND(F45*0.23,2)</f>
        <v>0</v>
      </c>
      <c r="G46" s="128"/>
    </row>
    <row r="47" spans="1:10" ht="42" customHeight="1" thickBot="1">
      <c r="A47" s="107" t="s">
        <v>404</v>
      </c>
      <c r="B47" s="108"/>
      <c r="C47" s="108"/>
      <c r="D47" s="108"/>
      <c r="E47" s="108"/>
      <c r="F47" s="109">
        <f>+F46+F45</f>
        <v>0</v>
      </c>
      <c r="G47" s="110"/>
    </row>
    <row r="48" spans="1:10" ht="17.25" thickTop="1"/>
    <row r="49" spans="1:7">
      <c r="C49" s="1"/>
      <c r="G49" s="1">
        <f>+F47</f>
        <v>0</v>
      </c>
    </row>
    <row r="50" spans="1:7" s="1" customFormat="1">
      <c r="A50" s="3"/>
      <c r="B50" s="3"/>
      <c r="C50" s="3"/>
      <c r="D50" s="27"/>
      <c r="E50" s="111">
        <f>+G49/0.748</f>
        <v>0</v>
      </c>
      <c r="F50" s="111"/>
      <c r="G50" s="1" t="s">
        <v>98</v>
      </c>
    </row>
  </sheetData>
  <mergeCells count="22">
    <mergeCell ref="A46:E46"/>
    <mergeCell ref="F46:G46"/>
    <mergeCell ref="A47:E47"/>
    <mergeCell ref="F47:G47"/>
    <mergeCell ref="E50:F50"/>
    <mergeCell ref="A45:E45"/>
    <mergeCell ref="F45:G45"/>
    <mergeCell ref="A21:F21"/>
    <mergeCell ref="C22:G22"/>
    <mergeCell ref="A29:F29"/>
    <mergeCell ref="C30:G30"/>
    <mergeCell ref="A34:F34"/>
    <mergeCell ref="C35:G35"/>
    <mergeCell ref="A40:F40"/>
    <mergeCell ref="C41:G41"/>
    <mergeCell ref="A44:F44"/>
    <mergeCell ref="C13:G13"/>
    <mergeCell ref="A1:G1"/>
    <mergeCell ref="A2:G2"/>
    <mergeCell ref="A3:G3"/>
    <mergeCell ref="C6:G6"/>
    <mergeCell ref="A12:F12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showGridLines="0" zoomScale="115" zoomScaleNormal="115" workbookViewId="0">
      <selection activeCell="I8" sqref="I7:I8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10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10" ht="23.25" customHeight="1">
      <c r="A2" s="133" t="s">
        <v>409</v>
      </c>
      <c r="B2" s="133"/>
      <c r="C2" s="133"/>
      <c r="D2" s="133"/>
      <c r="E2" s="133"/>
      <c r="F2" s="133"/>
      <c r="G2" s="133"/>
    </row>
    <row r="3" spans="1:10" ht="8.25" customHeight="1" thickBot="1">
      <c r="A3" s="134"/>
      <c r="B3" s="134"/>
      <c r="C3" s="134"/>
      <c r="D3" s="134"/>
      <c r="E3" s="134"/>
      <c r="F3" s="134"/>
      <c r="G3" s="134"/>
    </row>
    <row r="4" spans="1:10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10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10">
      <c r="A6" s="15">
        <v>1</v>
      </c>
      <c r="B6" s="16"/>
      <c r="C6" s="112" t="s">
        <v>125</v>
      </c>
      <c r="D6" s="113"/>
      <c r="E6" s="113"/>
      <c r="F6" s="113"/>
      <c r="G6" s="114"/>
    </row>
    <row r="7" spans="1:10" ht="57.75" customHeight="1">
      <c r="A7" s="17" t="s">
        <v>7</v>
      </c>
      <c r="B7" s="18" t="s">
        <v>58</v>
      </c>
      <c r="C7" s="18" t="s">
        <v>305</v>
      </c>
      <c r="D7" s="19" t="s">
        <v>11</v>
      </c>
      <c r="E7" s="20">
        <v>180</v>
      </c>
      <c r="F7" s="21"/>
      <c r="G7" s="22">
        <f t="shared" ref="G7:G8" si="0">ROUND(F7*E7,2)</f>
        <v>0</v>
      </c>
    </row>
    <row r="8" spans="1:10" ht="33">
      <c r="A8" s="17" t="s">
        <v>8</v>
      </c>
      <c r="B8" s="18" t="s">
        <v>75</v>
      </c>
      <c r="C8" s="18" t="s">
        <v>306</v>
      </c>
      <c r="D8" s="19" t="s">
        <v>11</v>
      </c>
      <c r="E8" s="20">
        <v>100</v>
      </c>
      <c r="F8" s="21"/>
      <c r="G8" s="22">
        <f t="shared" si="0"/>
        <v>0</v>
      </c>
    </row>
    <row r="9" spans="1:10" ht="16.5" customHeight="1">
      <c r="A9" s="115" t="s">
        <v>126</v>
      </c>
      <c r="B9" s="113"/>
      <c r="C9" s="113"/>
      <c r="D9" s="113"/>
      <c r="E9" s="113"/>
      <c r="F9" s="116"/>
      <c r="G9" s="23">
        <f>SUM(G7:G8)</f>
        <v>0</v>
      </c>
    </row>
    <row r="10" spans="1:10">
      <c r="A10" s="15">
        <v>2</v>
      </c>
      <c r="B10" s="16"/>
      <c r="C10" s="112" t="s">
        <v>310</v>
      </c>
      <c r="D10" s="113"/>
      <c r="E10" s="113"/>
      <c r="F10" s="113"/>
      <c r="G10" s="114"/>
    </row>
    <row r="11" spans="1:10" ht="48" customHeight="1">
      <c r="A11" s="17" t="s">
        <v>348</v>
      </c>
      <c r="B11" s="18" t="s">
        <v>75</v>
      </c>
      <c r="C11" s="18" t="s">
        <v>307</v>
      </c>
      <c r="D11" s="19" t="s">
        <v>10</v>
      </c>
      <c r="E11" s="20">
        <v>200</v>
      </c>
      <c r="F11" s="21"/>
      <c r="G11" s="22">
        <f t="shared" ref="G11" si="1">ROUND(F11*E11,2)</f>
        <v>0</v>
      </c>
    </row>
    <row r="12" spans="1:10" ht="50.25" customHeight="1">
      <c r="A12" s="17" t="s">
        <v>25</v>
      </c>
      <c r="B12" s="24" t="s">
        <v>52</v>
      </c>
      <c r="C12" s="18" t="s">
        <v>308</v>
      </c>
      <c r="D12" s="19" t="s">
        <v>10</v>
      </c>
      <c r="E12" s="20">
        <v>200</v>
      </c>
      <c r="F12" s="21"/>
      <c r="G12" s="22">
        <f>ROUND(F12*E12,2)</f>
        <v>0</v>
      </c>
    </row>
    <row r="13" spans="1:10" ht="54" customHeight="1">
      <c r="A13" s="17" t="s">
        <v>53</v>
      </c>
      <c r="B13" s="24" t="s">
        <v>76</v>
      </c>
      <c r="C13" s="18" t="s">
        <v>309</v>
      </c>
      <c r="D13" s="19" t="s">
        <v>10</v>
      </c>
      <c r="E13" s="20">
        <v>200</v>
      </c>
      <c r="F13" s="21"/>
      <c r="G13" s="22">
        <f>ROUND(F13*E13,2)</f>
        <v>0</v>
      </c>
    </row>
    <row r="14" spans="1:10" ht="54" customHeight="1">
      <c r="A14" s="17" t="s">
        <v>56</v>
      </c>
      <c r="B14" s="24" t="s">
        <v>52</v>
      </c>
      <c r="C14" s="18" t="s">
        <v>312</v>
      </c>
      <c r="D14" s="19" t="s">
        <v>10</v>
      </c>
      <c r="E14" s="20">
        <v>200</v>
      </c>
      <c r="F14" s="21"/>
      <c r="G14" s="22">
        <f>ROUND(F14*E14,2)</f>
        <v>0</v>
      </c>
    </row>
    <row r="15" spans="1:10">
      <c r="A15" s="115" t="s">
        <v>311</v>
      </c>
      <c r="B15" s="113"/>
      <c r="C15" s="113"/>
      <c r="D15" s="113"/>
      <c r="E15" s="113"/>
      <c r="F15" s="116"/>
      <c r="G15" s="23">
        <f>SUM(G11:G14)</f>
        <v>0</v>
      </c>
    </row>
    <row r="16" spans="1:10" s="1" customFormat="1">
      <c r="A16" s="15">
        <v>3</v>
      </c>
      <c r="B16" s="16"/>
      <c r="C16" s="112" t="s">
        <v>12</v>
      </c>
      <c r="D16" s="113"/>
      <c r="E16" s="113"/>
      <c r="F16" s="113"/>
      <c r="G16" s="114"/>
      <c r="I16" s="3"/>
      <c r="J16" s="3"/>
    </row>
    <row r="17" spans="1:10" s="1" customFormat="1" ht="36.75" customHeight="1">
      <c r="A17" s="17" t="s">
        <v>54</v>
      </c>
      <c r="B17" s="18" t="s">
        <v>81</v>
      </c>
      <c r="C17" s="18" t="s">
        <v>410</v>
      </c>
      <c r="D17" s="19" t="s">
        <v>14</v>
      </c>
      <c r="E17" s="20">
        <v>606</v>
      </c>
      <c r="F17" s="21"/>
      <c r="G17" s="22">
        <f>ROUND(F17*E17,2)</f>
        <v>0</v>
      </c>
      <c r="I17" s="3"/>
      <c r="J17" s="3"/>
    </row>
    <row r="18" spans="1:10" s="1" customFormat="1" ht="49.5">
      <c r="A18" s="17" t="s">
        <v>55</v>
      </c>
      <c r="B18" s="18" t="s">
        <v>50</v>
      </c>
      <c r="C18" s="18" t="s">
        <v>411</v>
      </c>
      <c r="D18" s="19" t="s">
        <v>10</v>
      </c>
      <c r="E18" s="20">
        <v>12176</v>
      </c>
      <c r="F18" s="21"/>
      <c r="G18" s="22">
        <f>ROUND(F18*E18,2)</f>
        <v>0</v>
      </c>
      <c r="I18" s="3"/>
      <c r="J18" s="3"/>
    </row>
    <row r="19" spans="1:10" s="1" customFormat="1">
      <c r="A19" s="115" t="s">
        <v>16</v>
      </c>
      <c r="B19" s="113"/>
      <c r="C19" s="113"/>
      <c r="D19" s="113"/>
      <c r="E19" s="113"/>
      <c r="F19" s="116"/>
      <c r="G19" s="23">
        <f>SUM(G17:G18)</f>
        <v>0</v>
      </c>
      <c r="I19" s="3"/>
      <c r="J19" s="3"/>
    </row>
    <row r="20" spans="1:10" s="1" customFormat="1">
      <c r="A20" s="15">
        <v>4</v>
      </c>
      <c r="B20" s="16"/>
      <c r="C20" s="112" t="s">
        <v>112</v>
      </c>
      <c r="D20" s="113"/>
      <c r="E20" s="113"/>
      <c r="F20" s="113"/>
      <c r="G20" s="114"/>
      <c r="I20" s="3"/>
      <c r="J20" s="3"/>
    </row>
    <row r="21" spans="1:10" s="1" customFormat="1" ht="50.25" customHeight="1">
      <c r="A21" s="17" t="s">
        <v>349</v>
      </c>
      <c r="B21" s="96" t="s">
        <v>75</v>
      </c>
      <c r="C21" s="18" t="s">
        <v>425</v>
      </c>
      <c r="D21" s="19" t="s">
        <v>37</v>
      </c>
      <c r="E21" s="20">
        <v>4800</v>
      </c>
      <c r="F21" s="21"/>
      <c r="G21" s="22">
        <f>ROUND(F21*E21,2)</f>
        <v>0</v>
      </c>
      <c r="I21" s="3"/>
      <c r="J21" s="3"/>
    </row>
    <row r="22" spans="1:10" s="1" customFormat="1" ht="20.25" customHeight="1">
      <c r="A22" s="117" t="s">
        <v>119</v>
      </c>
      <c r="B22" s="118"/>
      <c r="C22" s="118"/>
      <c r="D22" s="118"/>
      <c r="E22" s="118"/>
      <c r="F22" s="119"/>
      <c r="G22" s="25">
        <f>SUM(G21:G21)</f>
        <v>0</v>
      </c>
      <c r="I22" s="3"/>
      <c r="J22" s="3"/>
    </row>
    <row r="23" spans="1:10" s="1" customFormat="1">
      <c r="A23" s="15">
        <v>5</v>
      </c>
      <c r="B23" s="16"/>
      <c r="C23" s="112" t="s">
        <v>118</v>
      </c>
      <c r="D23" s="113"/>
      <c r="E23" s="113"/>
      <c r="F23" s="113"/>
      <c r="G23" s="114"/>
      <c r="I23" s="3"/>
      <c r="J23" s="3"/>
    </row>
    <row r="24" spans="1:10" s="1" customFormat="1" ht="54.75" customHeight="1">
      <c r="A24" s="17" t="s">
        <v>350</v>
      </c>
      <c r="B24" s="96" t="s">
        <v>75</v>
      </c>
      <c r="C24" s="18" t="s">
        <v>408</v>
      </c>
      <c r="D24" s="19" t="s">
        <v>37</v>
      </c>
      <c r="E24" s="20">
        <v>24</v>
      </c>
      <c r="F24" s="21"/>
      <c r="G24" s="22">
        <f>ROUND(F24*E24,2)</f>
        <v>0</v>
      </c>
      <c r="I24" s="3"/>
      <c r="J24" s="3"/>
    </row>
    <row r="25" spans="1:10" s="1" customFormat="1" ht="75" customHeight="1">
      <c r="A25" s="17" t="s">
        <v>57</v>
      </c>
      <c r="B25" s="96" t="s">
        <v>75</v>
      </c>
      <c r="C25" s="18" t="s">
        <v>426</v>
      </c>
      <c r="D25" s="19" t="s">
        <v>68</v>
      </c>
      <c r="E25" s="20">
        <v>190</v>
      </c>
      <c r="F25" s="21"/>
      <c r="G25" s="22">
        <f>ROUND(F25*E25,2)</f>
        <v>0</v>
      </c>
      <c r="I25" s="3"/>
      <c r="J25" s="3"/>
    </row>
    <row r="26" spans="1:10" s="1" customFormat="1" ht="20.25" customHeight="1">
      <c r="A26" s="117" t="s">
        <v>120</v>
      </c>
      <c r="B26" s="118"/>
      <c r="C26" s="118"/>
      <c r="D26" s="118"/>
      <c r="E26" s="118"/>
      <c r="F26" s="119"/>
      <c r="G26" s="25">
        <f>SUM(G24:G25)</f>
        <v>0</v>
      </c>
      <c r="I26" s="3"/>
      <c r="J26" s="3"/>
    </row>
    <row r="27" spans="1:10" s="1" customFormat="1">
      <c r="A27" s="15">
        <v>6</v>
      </c>
      <c r="B27" s="16"/>
      <c r="C27" s="112" t="s">
        <v>17</v>
      </c>
      <c r="D27" s="113"/>
      <c r="E27" s="113"/>
      <c r="F27" s="113"/>
      <c r="G27" s="114"/>
      <c r="I27" s="3"/>
      <c r="J27" s="3"/>
    </row>
    <row r="28" spans="1:10" s="1" customFormat="1" ht="50.25" customHeight="1">
      <c r="A28" s="17" t="s">
        <v>351</v>
      </c>
      <c r="B28" s="18" t="s">
        <v>52</v>
      </c>
      <c r="C28" s="18" t="s">
        <v>336</v>
      </c>
      <c r="D28" s="19" t="s">
        <v>37</v>
      </c>
      <c r="E28" s="20">
        <v>2485</v>
      </c>
      <c r="F28" s="21"/>
      <c r="G28" s="22">
        <f>ROUND(F28*E28,2)</f>
        <v>0</v>
      </c>
      <c r="I28" s="3"/>
      <c r="J28" s="3"/>
    </row>
    <row r="29" spans="1:10" s="1" customFormat="1" ht="50.25" customHeight="1">
      <c r="A29" s="17" t="s">
        <v>352</v>
      </c>
      <c r="B29" s="18" t="s">
        <v>52</v>
      </c>
      <c r="C29" s="18" t="s">
        <v>412</v>
      </c>
      <c r="D29" s="19" t="s">
        <v>37</v>
      </c>
      <c r="E29" s="20">
        <v>4830</v>
      </c>
      <c r="F29" s="21"/>
      <c r="G29" s="22">
        <f>ROUND(F29*E29,2)</f>
        <v>0</v>
      </c>
      <c r="I29" s="3"/>
      <c r="J29" s="3"/>
    </row>
    <row r="30" spans="1:10" ht="36.75" customHeight="1">
      <c r="A30" s="17" t="s">
        <v>353</v>
      </c>
      <c r="B30" s="18" t="s">
        <v>66</v>
      </c>
      <c r="C30" s="18" t="s">
        <v>67</v>
      </c>
      <c r="D30" s="19" t="s">
        <v>68</v>
      </c>
      <c r="E30" s="20">
        <v>1</v>
      </c>
      <c r="F30" s="21"/>
      <c r="G30" s="22">
        <f>ROUND(F30*E30,2)</f>
        <v>0</v>
      </c>
    </row>
    <row r="31" spans="1:10" ht="36.75" customHeight="1">
      <c r="A31" s="17" t="s">
        <v>354</v>
      </c>
      <c r="B31" s="18" t="s">
        <v>70</v>
      </c>
      <c r="C31" s="18" t="s">
        <v>236</v>
      </c>
      <c r="D31" s="19" t="s">
        <v>68</v>
      </c>
      <c r="E31" s="20">
        <v>1</v>
      </c>
      <c r="F31" s="21"/>
      <c r="G31" s="22">
        <f>ROUND(F31*E31,2)</f>
        <v>0</v>
      </c>
    </row>
    <row r="32" spans="1:10" ht="17.25" thickBot="1">
      <c r="A32" s="117" t="s">
        <v>19</v>
      </c>
      <c r="B32" s="118"/>
      <c r="C32" s="118"/>
      <c r="D32" s="118"/>
      <c r="E32" s="118"/>
      <c r="F32" s="119"/>
      <c r="G32" s="25">
        <f>SUM(G28:G31)</f>
        <v>0</v>
      </c>
    </row>
    <row r="33" spans="1:10" s="26" customFormat="1" ht="34.5" customHeight="1" thickTop="1">
      <c r="A33" s="120" t="s">
        <v>20</v>
      </c>
      <c r="B33" s="121"/>
      <c r="C33" s="121"/>
      <c r="D33" s="121"/>
      <c r="E33" s="121"/>
      <c r="F33" s="122">
        <f>+G32+G26+G22+G19+G15+G9</f>
        <v>0</v>
      </c>
      <c r="G33" s="123"/>
      <c r="H33" s="1"/>
    </row>
    <row r="34" spans="1:10">
      <c r="A34" s="124" t="s">
        <v>21</v>
      </c>
      <c r="B34" s="125"/>
      <c r="C34" s="125"/>
      <c r="D34" s="125"/>
      <c r="E34" s="126"/>
      <c r="F34" s="127">
        <f>ROUND(F33*0.23,2)</f>
        <v>0</v>
      </c>
      <c r="G34" s="128"/>
    </row>
    <row r="35" spans="1:10" ht="42" customHeight="1" thickBot="1">
      <c r="A35" s="107" t="s">
        <v>404</v>
      </c>
      <c r="B35" s="108"/>
      <c r="C35" s="108"/>
      <c r="D35" s="108"/>
      <c r="E35" s="108"/>
      <c r="F35" s="109">
        <f>+F34+F33</f>
        <v>0</v>
      </c>
      <c r="G35" s="110"/>
    </row>
    <row r="36" spans="1:10" ht="17.25" thickTop="1"/>
    <row r="37" spans="1:10">
      <c r="C37" s="1"/>
      <c r="G37" s="1">
        <f>+F35</f>
        <v>0</v>
      </c>
    </row>
    <row r="38" spans="1:10" s="1" customFormat="1">
      <c r="A38" s="3"/>
      <c r="B38" s="3"/>
      <c r="C38" s="3"/>
      <c r="D38" s="27"/>
      <c r="E38" s="111">
        <f>+G37/2.6</f>
        <v>0</v>
      </c>
      <c r="F38" s="111"/>
      <c r="G38" s="1" t="s">
        <v>98</v>
      </c>
      <c r="I38" s="3"/>
      <c r="J38" s="3"/>
    </row>
  </sheetData>
  <mergeCells count="22">
    <mergeCell ref="A34:E34"/>
    <mergeCell ref="F34:G34"/>
    <mergeCell ref="A35:E35"/>
    <mergeCell ref="F35:G35"/>
    <mergeCell ref="E38:F38"/>
    <mergeCell ref="A33:E33"/>
    <mergeCell ref="F33:G33"/>
    <mergeCell ref="C10:G10"/>
    <mergeCell ref="A15:F15"/>
    <mergeCell ref="C16:G16"/>
    <mergeCell ref="A19:F19"/>
    <mergeCell ref="C20:G20"/>
    <mergeCell ref="A22:F22"/>
    <mergeCell ref="C23:G23"/>
    <mergeCell ref="A26:F26"/>
    <mergeCell ref="C27:G27"/>
    <mergeCell ref="A32:F32"/>
    <mergeCell ref="A9:F9"/>
    <mergeCell ref="C6:G6"/>
    <mergeCell ref="A1:G1"/>
    <mergeCell ref="A2:G2"/>
    <mergeCell ref="A3:G3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showGridLines="0" tabSelected="1" zoomScale="115" zoomScaleNormal="115" workbookViewId="0">
      <selection activeCell="I4" sqref="I4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8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8" ht="34.5" customHeight="1">
      <c r="A2" s="133" t="s">
        <v>405</v>
      </c>
      <c r="B2" s="133"/>
      <c r="C2" s="133"/>
      <c r="D2" s="133"/>
      <c r="E2" s="133"/>
      <c r="F2" s="133"/>
      <c r="G2" s="133"/>
    </row>
    <row r="3" spans="1:8" ht="15.75" customHeight="1" thickBot="1">
      <c r="A3" s="134"/>
      <c r="B3" s="134"/>
      <c r="C3" s="134"/>
      <c r="D3" s="134"/>
      <c r="E3" s="134"/>
      <c r="F3" s="134"/>
      <c r="G3" s="134"/>
    </row>
    <row r="4" spans="1:8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8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8">
      <c r="A6" s="15">
        <v>1</v>
      </c>
      <c r="B6" s="16"/>
      <c r="C6" s="112" t="s">
        <v>125</v>
      </c>
      <c r="D6" s="113"/>
      <c r="E6" s="113"/>
      <c r="F6" s="113"/>
      <c r="G6" s="114"/>
    </row>
    <row r="7" spans="1:8" ht="33">
      <c r="A7" s="17" t="s">
        <v>7</v>
      </c>
      <c r="B7" s="18" t="s">
        <v>9</v>
      </c>
      <c r="C7" s="18" t="s">
        <v>92</v>
      </c>
      <c r="D7" s="19" t="s">
        <v>93</v>
      </c>
      <c r="E7" s="20">
        <v>0.85</v>
      </c>
      <c r="F7" s="21"/>
      <c r="G7" s="22">
        <f t="shared" ref="G7:G9" si="0">ROUND(F7*E7,2)</f>
        <v>0</v>
      </c>
    </row>
    <row r="8" spans="1:8" ht="49.5">
      <c r="A8" s="17" t="s">
        <v>8</v>
      </c>
      <c r="B8" s="18" t="s">
        <v>9</v>
      </c>
      <c r="C8" s="18" t="s">
        <v>128</v>
      </c>
      <c r="D8" s="19" t="s">
        <v>10</v>
      </c>
      <c r="E8" s="20">
        <v>4950</v>
      </c>
      <c r="F8" s="21"/>
      <c r="G8" s="22">
        <f t="shared" si="0"/>
        <v>0</v>
      </c>
    </row>
    <row r="9" spans="1:8" ht="49.5">
      <c r="A9" s="17" t="s">
        <v>38</v>
      </c>
      <c r="B9" s="18" t="s">
        <v>75</v>
      </c>
      <c r="C9" s="18" t="s">
        <v>129</v>
      </c>
      <c r="D9" s="19" t="s">
        <v>11</v>
      </c>
      <c r="E9" s="20">
        <v>1237.5</v>
      </c>
      <c r="F9" s="21"/>
      <c r="G9" s="22">
        <f t="shared" si="0"/>
        <v>0</v>
      </c>
    </row>
    <row r="10" spans="1:8" ht="48" customHeight="1">
      <c r="A10" s="17" t="s">
        <v>59</v>
      </c>
      <c r="B10" s="18" t="s">
        <v>75</v>
      </c>
      <c r="C10" s="18" t="s">
        <v>142</v>
      </c>
      <c r="D10" s="19" t="s">
        <v>10</v>
      </c>
      <c r="E10" s="20">
        <v>4787.5</v>
      </c>
      <c r="F10" s="21"/>
      <c r="G10" s="22">
        <f t="shared" ref="G10" si="1">ROUND(F10*E10,2)</f>
        <v>0</v>
      </c>
    </row>
    <row r="11" spans="1:8">
      <c r="A11" s="115" t="s">
        <v>126</v>
      </c>
      <c r="B11" s="113"/>
      <c r="C11" s="113"/>
      <c r="D11" s="113"/>
      <c r="E11" s="113"/>
      <c r="F11" s="116"/>
      <c r="G11" s="23">
        <f>SUM(G7:G10)</f>
        <v>0</v>
      </c>
    </row>
    <row r="12" spans="1:8">
      <c r="A12" s="15">
        <v>2</v>
      </c>
      <c r="B12" s="16"/>
      <c r="C12" s="112" t="s">
        <v>23</v>
      </c>
      <c r="D12" s="113"/>
      <c r="E12" s="113"/>
      <c r="F12" s="113"/>
      <c r="G12" s="114"/>
    </row>
    <row r="13" spans="1:8" ht="50.25">
      <c r="A13" s="95" t="s">
        <v>53</v>
      </c>
      <c r="B13" s="24" t="s">
        <v>75</v>
      </c>
      <c r="C13" s="96" t="s">
        <v>135</v>
      </c>
      <c r="D13" s="97" t="s">
        <v>37</v>
      </c>
      <c r="E13" s="98">
        <v>9</v>
      </c>
      <c r="F13" s="99"/>
      <c r="G13" s="100">
        <f>ROUND(F13*E13,2)</f>
        <v>0</v>
      </c>
    </row>
    <row r="14" spans="1:8" ht="33" customHeight="1">
      <c r="A14" s="95" t="s">
        <v>56</v>
      </c>
      <c r="B14" s="24" t="s">
        <v>85</v>
      </c>
      <c r="C14" s="96" t="s">
        <v>136</v>
      </c>
      <c r="D14" s="97" t="s">
        <v>11</v>
      </c>
      <c r="E14" s="98">
        <v>2</v>
      </c>
      <c r="F14" s="99"/>
      <c r="G14" s="100">
        <f>ROUND(F14*E14,2)</f>
        <v>0</v>
      </c>
    </row>
    <row r="15" spans="1:8" ht="32.25" customHeight="1">
      <c r="A15" s="95" t="s">
        <v>60</v>
      </c>
      <c r="B15" s="96" t="s">
        <v>72</v>
      </c>
      <c r="C15" s="96" t="s">
        <v>137</v>
      </c>
      <c r="D15" s="97" t="s">
        <v>11</v>
      </c>
      <c r="E15" s="98">
        <v>36</v>
      </c>
      <c r="F15" s="99"/>
      <c r="G15" s="100">
        <f>ROUND(F15*E15,2)</f>
        <v>0</v>
      </c>
    </row>
    <row r="16" spans="1:8">
      <c r="A16" s="115" t="s">
        <v>140</v>
      </c>
      <c r="B16" s="113"/>
      <c r="C16" s="113"/>
      <c r="D16" s="113"/>
      <c r="E16" s="113"/>
      <c r="F16" s="116"/>
      <c r="G16" s="23">
        <f>SUM(G13:G15)</f>
        <v>0</v>
      </c>
    </row>
    <row r="17" spans="1:8" s="92" customFormat="1">
      <c r="A17" s="93">
        <v>3</v>
      </c>
      <c r="B17" s="94"/>
      <c r="C17" s="135" t="s">
        <v>127</v>
      </c>
      <c r="D17" s="130"/>
      <c r="E17" s="130"/>
      <c r="F17" s="130"/>
      <c r="G17" s="136"/>
      <c r="H17" s="91"/>
    </row>
    <row r="18" spans="1:8" s="92" customFormat="1" ht="45.75" customHeight="1">
      <c r="A18" s="17" t="s">
        <v>55</v>
      </c>
      <c r="B18" s="53" t="s">
        <v>52</v>
      </c>
      <c r="C18" s="18" t="s">
        <v>130</v>
      </c>
      <c r="D18" s="19" t="s">
        <v>10</v>
      </c>
      <c r="E18" s="20">
        <v>1400</v>
      </c>
      <c r="F18" s="21"/>
      <c r="G18" s="22">
        <f t="shared" ref="G18:G20" si="2">ROUND(F18*E18,2)</f>
        <v>0</v>
      </c>
      <c r="H18" s="91"/>
    </row>
    <row r="19" spans="1:8" s="92" customFormat="1" ht="49.5" customHeight="1">
      <c r="A19" s="17" t="s">
        <v>80</v>
      </c>
      <c r="B19" s="53" t="s">
        <v>52</v>
      </c>
      <c r="C19" s="18" t="s">
        <v>131</v>
      </c>
      <c r="D19" s="19" t="s">
        <v>11</v>
      </c>
      <c r="E19" s="20">
        <v>192.5</v>
      </c>
      <c r="F19" s="21"/>
      <c r="G19" s="22">
        <f t="shared" si="2"/>
        <v>0</v>
      </c>
      <c r="H19" s="91"/>
    </row>
    <row r="20" spans="1:8" s="92" customFormat="1" ht="49.5" customHeight="1">
      <c r="A20" s="17" t="s">
        <v>63</v>
      </c>
      <c r="B20" s="53" t="s">
        <v>52</v>
      </c>
      <c r="C20" s="18" t="s">
        <v>132</v>
      </c>
      <c r="D20" s="19" t="s">
        <v>10</v>
      </c>
      <c r="E20" s="20">
        <v>4787.5</v>
      </c>
      <c r="F20" s="21"/>
      <c r="G20" s="22">
        <f t="shared" si="2"/>
        <v>0</v>
      </c>
      <c r="H20" s="91"/>
    </row>
    <row r="21" spans="1:8" s="92" customFormat="1" ht="33" customHeight="1">
      <c r="A21" s="17" t="s">
        <v>64</v>
      </c>
      <c r="B21" s="24" t="s">
        <v>52</v>
      </c>
      <c r="C21" s="18" t="s">
        <v>133</v>
      </c>
      <c r="D21" s="19" t="s">
        <v>10</v>
      </c>
      <c r="E21" s="20">
        <v>4787.5</v>
      </c>
      <c r="F21" s="21"/>
      <c r="G21" s="22">
        <f>ROUND(F21*E21,2)</f>
        <v>0</v>
      </c>
      <c r="H21" s="91"/>
    </row>
    <row r="22" spans="1:8" s="92" customFormat="1" ht="32.25" customHeight="1">
      <c r="A22" s="17" t="s">
        <v>73</v>
      </c>
      <c r="B22" s="24" t="s">
        <v>76</v>
      </c>
      <c r="C22" s="18" t="s">
        <v>134</v>
      </c>
      <c r="D22" s="19" t="s">
        <v>10</v>
      </c>
      <c r="E22" s="20">
        <v>4787.5</v>
      </c>
      <c r="F22" s="21"/>
      <c r="G22" s="22">
        <f>ROUND(F22*E22,2)</f>
        <v>0</v>
      </c>
      <c r="H22" s="91"/>
    </row>
    <row r="23" spans="1:8" s="92" customFormat="1">
      <c r="A23" s="129" t="s">
        <v>141</v>
      </c>
      <c r="B23" s="130"/>
      <c r="C23" s="130"/>
      <c r="D23" s="130"/>
      <c r="E23" s="130"/>
      <c r="F23" s="131"/>
      <c r="G23" s="101">
        <f>SUM(G18:G22)</f>
        <v>0</v>
      </c>
      <c r="H23" s="91"/>
    </row>
    <row r="24" spans="1:8">
      <c r="A24" s="15">
        <v>4</v>
      </c>
      <c r="B24" s="16"/>
      <c r="C24" s="112" t="s">
        <v>12</v>
      </c>
      <c r="D24" s="113"/>
      <c r="E24" s="113"/>
      <c r="F24" s="113"/>
      <c r="G24" s="114"/>
    </row>
    <row r="25" spans="1:8" ht="49.5">
      <c r="A25" s="17" t="s">
        <v>69</v>
      </c>
      <c r="B25" s="18" t="s">
        <v>15</v>
      </c>
      <c r="C25" s="18" t="s">
        <v>138</v>
      </c>
      <c r="D25" s="19" t="s">
        <v>10</v>
      </c>
      <c r="E25" s="20">
        <v>3651.1</v>
      </c>
      <c r="F25" s="21"/>
      <c r="G25" s="22">
        <f>ROUND(F25*E25,2)</f>
        <v>0</v>
      </c>
    </row>
    <row r="26" spans="1:8" ht="42.75" customHeight="1">
      <c r="A26" s="17" t="s">
        <v>71</v>
      </c>
      <c r="B26" s="18" t="s">
        <v>50</v>
      </c>
      <c r="C26" s="18" t="s">
        <v>139</v>
      </c>
      <c r="D26" s="19" t="s">
        <v>10</v>
      </c>
      <c r="E26" s="20">
        <v>3558.2</v>
      </c>
      <c r="F26" s="21"/>
      <c r="G26" s="22">
        <f>ROUND(F26*E26,2)</f>
        <v>0</v>
      </c>
    </row>
    <row r="27" spans="1:8">
      <c r="A27" s="115" t="s">
        <v>16</v>
      </c>
      <c r="B27" s="113"/>
      <c r="C27" s="113"/>
      <c r="D27" s="113"/>
      <c r="E27" s="113"/>
      <c r="F27" s="116"/>
      <c r="G27" s="23">
        <f>SUM(G25:G26)</f>
        <v>0</v>
      </c>
    </row>
    <row r="28" spans="1:8">
      <c r="A28" s="15">
        <v>5</v>
      </c>
      <c r="B28" s="16"/>
      <c r="C28" s="112" t="s">
        <v>17</v>
      </c>
      <c r="D28" s="113"/>
      <c r="E28" s="113"/>
      <c r="F28" s="113"/>
      <c r="G28" s="114"/>
    </row>
    <row r="29" spans="1:8" ht="50.25" customHeight="1">
      <c r="A29" s="17" t="s">
        <v>364</v>
      </c>
      <c r="B29" s="18" t="s">
        <v>52</v>
      </c>
      <c r="C29" s="18" t="s">
        <v>328</v>
      </c>
      <c r="D29" s="19" t="s">
        <v>37</v>
      </c>
      <c r="E29" s="20">
        <v>662</v>
      </c>
      <c r="F29" s="21"/>
      <c r="G29" s="22">
        <f t="shared" ref="G29" si="3">ROUND(F29*E29,2)</f>
        <v>0</v>
      </c>
    </row>
    <row r="30" spans="1:8" ht="50.25" customHeight="1">
      <c r="A30" s="17" t="s">
        <v>78</v>
      </c>
      <c r="B30" s="18" t="s">
        <v>52</v>
      </c>
      <c r="C30" s="18" t="s">
        <v>144</v>
      </c>
      <c r="D30" s="19" t="s">
        <v>37</v>
      </c>
      <c r="E30" s="20">
        <v>1804</v>
      </c>
      <c r="F30" s="21"/>
      <c r="G30" s="22">
        <f t="shared" ref="G30:G33" si="4">ROUND(F30*E30,2)</f>
        <v>0</v>
      </c>
    </row>
    <row r="31" spans="1:8" ht="49.5" customHeight="1">
      <c r="A31" s="17" t="s">
        <v>365</v>
      </c>
      <c r="B31" s="18" t="s">
        <v>18</v>
      </c>
      <c r="C31" s="18" t="s">
        <v>145</v>
      </c>
      <c r="D31" s="19" t="s">
        <v>10</v>
      </c>
      <c r="E31" s="20">
        <v>1229.3</v>
      </c>
      <c r="F31" s="21"/>
      <c r="G31" s="22">
        <f t="shared" si="4"/>
        <v>0</v>
      </c>
    </row>
    <row r="32" spans="1:8" ht="36.75" customHeight="1">
      <c r="A32" s="17" t="s">
        <v>79</v>
      </c>
      <c r="B32" s="18" t="s">
        <v>66</v>
      </c>
      <c r="C32" s="18" t="s">
        <v>67</v>
      </c>
      <c r="D32" s="19" t="s">
        <v>68</v>
      </c>
      <c r="E32" s="20">
        <v>6</v>
      </c>
      <c r="F32" s="21"/>
      <c r="G32" s="22">
        <f t="shared" si="4"/>
        <v>0</v>
      </c>
    </row>
    <row r="33" spans="1:8" ht="36.75" customHeight="1">
      <c r="A33" s="17" t="s">
        <v>366</v>
      </c>
      <c r="B33" s="18" t="s">
        <v>70</v>
      </c>
      <c r="C33" s="18" t="s">
        <v>143</v>
      </c>
      <c r="D33" s="19" t="s">
        <v>68</v>
      </c>
      <c r="E33" s="20">
        <v>6</v>
      </c>
      <c r="F33" s="21"/>
      <c r="G33" s="22">
        <f t="shared" si="4"/>
        <v>0</v>
      </c>
    </row>
    <row r="34" spans="1:8" ht="20.25" customHeight="1">
      <c r="A34" s="117" t="s">
        <v>19</v>
      </c>
      <c r="B34" s="118"/>
      <c r="C34" s="118"/>
      <c r="D34" s="118"/>
      <c r="E34" s="118"/>
      <c r="F34" s="119"/>
      <c r="G34" s="25">
        <f>SUM(G29:G33)</f>
        <v>0</v>
      </c>
    </row>
    <row r="35" spans="1:8">
      <c r="A35" s="15">
        <v>6</v>
      </c>
      <c r="B35" s="16"/>
      <c r="C35" s="112" t="s">
        <v>146</v>
      </c>
      <c r="D35" s="113"/>
      <c r="E35" s="113"/>
      <c r="F35" s="113"/>
      <c r="G35" s="114"/>
    </row>
    <row r="36" spans="1:8" ht="64.5" customHeight="1">
      <c r="A36" s="17" t="s">
        <v>114</v>
      </c>
      <c r="B36" s="96" t="s">
        <v>75</v>
      </c>
      <c r="C36" s="18" t="s">
        <v>148</v>
      </c>
      <c r="D36" s="19" t="s">
        <v>11</v>
      </c>
      <c r="E36" s="20">
        <v>1264.5</v>
      </c>
      <c r="F36" s="21"/>
      <c r="G36" s="22">
        <f>ROUND(F36*E36,2)</f>
        <v>0</v>
      </c>
    </row>
    <row r="37" spans="1:8" ht="20.25" customHeight="1">
      <c r="A37" s="117" t="s">
        <v>147</v>
      </c>
      <c r="B37" s="118"/>
      <c r="C37" s="118"/>
      <c r="D37" s="118"/>
      <c r="E37" s="118"/>
      <c r="F37" s="119"/>
      <c r="G37" s="25">
        <f>SUM(G36:G36)</f>
        <v>0</v>
      </c>
    </row>
    <row r="38" spans="1:8">
      <c r="A38" s="15">
        <v>7</v>
      </c>
      <c r="B38" s="16"/>
      <c r="C38" s="112" t="s">
        <v>151</v>
      </c>
      <c r="D38" s="113"/>
      <c r="E38" s="113"/>
      <c r="F38" s="113"/>
      <c r="G38" s="114"/>
    </row>
    <row r="39" spans="1:8" ht="54.75" customHeight="1">
      <c r="A39" s="17" t="s">
        <v>367</v>
      </c>
      <c r="B39" s="96" t="s">
        <v>75</v>
      </c>
      <c r="C39" s="18" t="s">
        <v>149</v>
      </c>
      <c r="D39" s="19" t="s">
        <v>37</v>
      </c>
      <c r="E39" s="20">
        <v>114</v>
      </c>
      <c r="F39" s="21"/>
      <c r="G39" s="22">
        <f>ROUND(F39*E39,2)</f>
        <v>0</v>
      </c>
    </row>
    <row r="40" spans="1:8" ht="61.5" customHeight="1">
      <c r="A40" s="17" t="s">
        <v>368</v>
      </c>
      <c r="B40" s="96" t="s">
        <v>75</v>
      </c>
      <c r="C40" s="18" t="s">
        <v>150</v>
      </c>
      <c r="D40" s="19" t="s">
        <v>10</v>
      </c>
      <c r="E40" s="20">
        <v>500</v>
      </c>
      <c r="F40" s="21"/>
      <c r="G40" s="22">
        <f>ROUND(F40*E40,2)</f>
        <v>0</v>
      </c>
    </row>
    <row r="41" spans="1:8" ht="50.25" customHeight="1">
      <c r="A41" s="17" t="s">
        <v>369</v>
      </c>
      <c r="B41" s="18" t="s">
        <v>52</v>
      </c>
      <c r="C41" s="18" t="s">
        <v>152</v>
      </c>
      <c r="D41" s="19" t="s">
        <v>37</v>
      </c>
      <c r="E41" s="20">
        <v>250</v>
      </c>
      <c r="F41" s="21"/>
      <c r="G41" s="22">
        <f t="shared" ref="G41" si="5">ROUND(F41*E41,2)</f>
        <v>0</v>
      </c>
    </row>
    <row r="42" spans="1:8" ht="20.25" customHeight="1" thickBot="1">
      <c r="A42" s="117" t="s">
        <v>120</v>
      </c>
      <c r="B42" s="118"/>
      <c r="C42" s="118"/>
      <c r="D42" s="118"/>
      <c r="E42" s="118"/>
      <c r="F42" s="119"/>
      <c r="G42" s="25">
        <f>SUM(G39:G41)</f>
        <v>0</v>
      </c>
    </row>
    <row r="43" spans="1:8" s="26" customFormat="1" ht="34.5" customHeight="1" thickTop="1">
      <c r="A43" s="120" t="s">
        <v>20</v>
      </c>
      <c r="B43" s="121"/>
      <c r="C43" s="121"/>
      <c r="D43" s="121"/>
      <c r="E43" s="121"/>
      <c r="F43" s="122">
        <f>+G42+G37+G34+G27+G23+G16+G11</f>
        <v>0</v>
      </c>
      <c r="G43" s="123"/>
      <c r="H43" s="1"/>
    </row>
    <row r="44" spans="1:8">
      <c r="A44" s="124" t="s">
        <v>21</v>
      </c>
      <c r="B44" s="125"/>
      <c r="C44" s="125"/>
      <c r="D44" s="125"/>
      <c r="E44" s="126"/>
      <c r="F44" s="127">
        <f>ROUND(F43*0.23,2)</f>
        <v>0</v>
      </c>
      <c r="G44" s="128"/>
    </row>
    <row r="45" spans="1:8" ht="42" customHeight="1" thickBot="1">
      <c r="A45" s="107" t="s">
        <v>404</v>
      </c>
      <c r="B45" s="108"/>
      <c r="C45" s="108"/>
      <c r="D45" s="108"/>
      <c r="E45" s="108"/>
      <c r="F45" s="109">
        <f>+F44+F43</f>
        <v>0</v>
      </c>
      <c r="G45" s="110"/>
    </row>
    <row r="46" spans="1:8" ht="17.25" thickTop="1"/>
    <row r="47" spans="1:8">
      <c r="C47" s="1"/>
      <c r="G47" s="1">
        <f>+F45</f>
        <v>0</v>
      </c>
    </row>
    <row r="48" spans="1:8" s="1" customFormat="1">
      <c r="A48" s="3"/>
      <c r="B48" s="3"/>
      <c r="C48" s="3"/>
      <c r="D48" s="27"/>
      <c r="E48" s="111">
        <f>+G47/E7</f>
        <v>0</v>
      </c>
      <c r="F48" s="111"/>
      <c r="G48" s="1" t="s">
        <v>98</v>
      </c>
    </row>
  </sheetData>
  <mergeCells count="24">
    <mergeCell ref="A34:F34"/>
    <mergeCell ref="C35:G35"/>
    <mergeCell ref="A1:G1"/>
    <mergeCell ref="A2:G2"/>
    <mergeCell ref="A3:G3"/>
    <mergeCell ref="C6:G6"/>
    <mergeCell ref="A11:F11"/>
    <mergeCell ref="C17:G17"/>
    <mergeCell ref="A45:E45"/>
    <mergeCell ref="F45:G45"/>
    <mergeCell ref="E48:F48"/>
    <mergeCell ref="C12:G12"/>
    <mergeCell ref="A16:F16"/>
    <mergeCell ref="A37:F37"/>
    <mergeCell ref="C38:G38"/>
    <mergeCell ref="A42:F42"/>
    <mergeCell ref="A43:E43"/>
    <mergeCell ref="F43:G43"/>
    <mergeCell ref="A44:E44"/>
    <mergeCell ref="F44:G44"/>
    <mergeCell ref="A23:F23"/>
    <mergeCell ref="C24:G24"/>
    <mergeCell ref="A27:F27"/>
    <mergeCell ref="C28:G28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zoomScale="115" zoomScaleNormal="115" workbookViewId="0">
      <selection activeCell="F36" sqref="F36:F38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8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8" ht="34.5" customHeight="1">
      <c r="A2" s="133" t="s">
        <v>406</v>
      </c>
      <c r="B2" s="133"/>
      <c r="C2" s="133"/>
      <c r="D2" s="133"/>
      <c r="E2" s="133"/>
      <c r="F2" s="133"/>
      <c r="G2" s="133"/>
    </row>
    <row r="3" spans="1:8" ht="15.75" customHeight="1" thickBot="1">
      <c r="A3" s="134"/>
      <c r="B3" s="134"/>
      <c r="C3" s="134"/>
      <c r="D3" s="134"/>
      <c r="E3" s="134"/>
      <c r="F3" s="134"/>
      <c r="G3" s="134"/>
    </row>
    <row r="4" spans="1:8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8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8">
      <c r="A6" s="15">
        <v>1</v>
      </c>
      <c r="B6" s="16"/>
      <c r="C6" s="112" t="s">
        <v>26</v>
      </c>
      <c r="D6" s="113"/>
      <c r="E6" s="113"/>
      <c r="F6" s="113"/>
      <c r="G6" s="114"/>
    </row>
    <row r="7" spans="1:8" ht="33">
      <c r="A7" s="17" t="s">
        <v>7</v>
      </c>
      <c r="B7" s="18" t="s">
        <v>9</v>
      </c>
      <c r="C7" s="18" t="s">
        <v>92</v>
      </c>
      <c r="D7" s="19" t="s">
        <v>93</v>
      </c>
      <c r="E7" s="20">
        <f>1.7996+0.1681</f>
        <v>1.9677</v>
      </c>
      <c r="F7" s="21"/>
      <c r="G7" s="22">
        <f t="shared" ref="G7:G8" si="0">ROUND(F7*E7,2)</f>
        <v>0</v>
      </c>
    </row>
    <row r="8" spans="1:8" ht="80.25" customHeight="1">
      <c r="A8" s="17" t="s">
        <v>8</v>
      </c>
      <c r="B8" s="18" t="s">
        <v>58</v>
      </c>
      <c r="C8" s="18" t="s">
        <v>99</v>
      </c>
      <c r="D8" s="19" t="s">
        <v>11</v>
      </c>
      <c r="E8" s="20">
        <f>841.3+127</f>
        <v>968.3</v>
      </c>
      <c r="F8" s="21"/>
      <c r="G8" s="22">
        <f t="shared" si="0"/>
        <v>0</v>
      </c>
    </row>
    <row r="9" spans="1:8" ht="50.25" customHeight="1">
      <c r="A9" s="17" t="s">
        <v>38</v>
      </c>
      <c r="B9" s="24" t="s">
        <v>52</v>
      </c>
      <c r="C9" s="18" t="s">
        <v>100</v>
      </c>
      <c r="D9" s="19" t="s">
        <v>10</v>
      </c>
      <c r="E9" s="20">
        <f>1583+1120.3+423.2</f>
        <v>3126.5</v>
      </c>
      <c r="F9" s="21"/>
      <c r="G9" s="22">
        <f>ROUND(F9*E9,2)</f>
        <v>0</v>
      </c>
    </row>
    <row r="10" spans="1:8" ht="54" customHeight="1">
      <c r="A10" s="17" t="s">
        <v>59</v>
      </c>
      <c r="B10" s="24" t="s">
        <v>76</v>
      </c>
      <c r="C10" s="18" t="s">
        <v>101</v>
      </c>
      <c r="D10" s="19" t="s">
        <v>10</v>
      </c>
      <c r="E10" s="20">
        <v>3126.5</v>
      </c>
      <c r="F10" s="21"/>
      <c r="G10" s="22">
        <f>ROUND(F10*E10,2)</f>
        <v>0</v>
      </c>
    </row>
    <row r="11" spans="1:8">
      <c r="A11" s="115" t="s">
        <v>84</v>
      </c>
      <c r="B11" s="113"/>
      <c r="C11" s="113"/>
      <c r="D11" s="113"/>
      <c r="E11" s="113"/>
      <c r="F11" s="116"/>
      <c r="G11" s="23">
        <f>SUM(G7:G10)</f>
        <v>0</v>
      </c>
    </row>
    <row r="12" spans="1:8" s="92" customFormat="1">
      <c r="A12" s="93">
        <v>2</v>
      </c>
      <c r="B12" s="94"/>
      <c r="C12" s="135" t="s">
        <v>23</v>
      </c>
      <c r="D12" s="130"/>
      <c r="E12" s="130"/>
      <c r="F12" s="130"/>
      <c r="G12" s="136"/>
      <c r="H12" s="91"/>
    </row>
    <row r="13" spans="1:8" s="92" customFormat="1" ht="33" customHeight="1">
      <c r="A13" s="95" t="s">
        <v>53</v>
      </c>
      <c r="B13" s="24" t="s">
        <v>85</v>
      </c>
      <c r="C13" s="96" t="s">
        <v>94</v>
      </c>
      <c r="D13" s="97" t="s">
        <v>11</v>
      </c>
      <c r="E13" s="98">
        <v>4</v>
      </c>
      <c r="F13" s="99"/>
      <c r="G13" s="100">
        <f>ROUND(F13*E13,2)</f>
        <v>0</v>
      </c>
      <c r="H13" s="91"/>
    </row>
    <row r="14" spans="1:8" s="92" customFormat="1" ht="66" customHeight="1">
      <c r="A14" s="95" t="s">
        <v>56</v>
      </c>
      <c r="B14" s="96" t="s">
        <v>75</v>
      </c>
      <c r="C14" s="96" t="s">
        <v>107</v>
      </c>
      <c r="D14" s="97" t="s">
        <v>68</v>
      </c>
      <c r="E14" s="98">
        <v>8</v>
      </c>
      <c r="F14" s="99"/>
      <c r="G14" s="100">
        <f>ROUND(F14*E14,2)</f>
        <v>0</v>
      </c>
      <c r="H14" s="91"/>
    </row>
    <row r="15" spans="1:8" s="92" customFormat="1" ht="33" customHeight="1">
      <c r="A15" s="95" t="s">
        <v>60</v>
      </c>
      <c r="B15" s="96" t="s">
        <v>75</v>
      </c>
      <c r="C15" s="96" t="s">
        <v>108</v>
      </c>
      <c r="D15" s="97" t="s">
        <v>37</v>
      </c>
      <c r="E15" s="98">
        <v>2</v>
      </c>
      <c r="F15" s="99"/>
      <c r="G15" s="100">
        <f>ROUND(F15*E15,2)</f>
        <v>0</v>
      </c>
      <c r="H15" s="91"/>
    </row>
    <row r="16" spans="1:8" s="92" customFormat="1" ht="32.25" customHeight="1">
      <c r="A16" s="95" t="s">
        <v>61</v>
      </c>
      <c r="B16" s="96" t="s">
        <v>72</v>
      </c>
      <c r="C16" s="96" t="s">
        <v>27</v>
      </c>
      <c r="D16" s="97" t="s">
        <v>11</v>
      </c>
      <c r="E16" s="98">
        <v>20</v>
      </c>
      <c r="F16" s="99"/>
      <c r="G16" s="100">
        <f>ROUND(F16*E16,2)</f>
        <v>0</v>
      </c>
      <c r="H16" s="91"/>
    </row>
    <row r="17" spans="1:8" s="92" customFormat="1">
      <c r="A17" s="129" t="s">
        <v>22</v>
      </c>
      <c r="B17" s="130"/>
      <c r="C17" s="130"/>
      <c r="D17" s="130"/>
      <c r="E17" s="130"/>
      <c r="F17" s="131"/>
      <c r="G17" s="101">
        <f>SUM(G13:G16)</f>
        <v>0</v>
      </c>
      <c r="H17" s="91"/>
    </row>
    <row r="18" spans="1:8">
      <c r="A18" s="15">
        <v>3</v>
      </c>
      <c r="B18" s="16"/>
      <c r="C18" s="112" t="s">
        <v>12</v>
      </c>
      <c r="D18" s="113"/>
      <c r="E18" s="113"/>
      <c r="F18" s="113"/>
      <c r="G18" s="114"/>
    </row>
    <row r="19" spans="1:8" ht="68.25" customHeight="1">
      <c r="A19" s="17" t="s">
        <v>80</v>
      </c>
      <c r="B19" s="18" t="s">
        <v>81</v>
      </c>
      <c r="C19" s="18" t="s">
        <v>102</v>
      </c>
      <c r="D19" s="19" t="s">
        <v>14</v>
      </c>
      <c r="E19" s="20">
        <f>540.4+268.5</f>
        <v>808.9</v>
      </c>
      <c r="F19" s="21"/>
      <c r="G19" s="22">
        <f>ROUND(F19*E19,2)</f>
        <v>0</v>
      </c>
    </row>
    <row r="20" spans="1:8" ht="49.5">
      <c r="A20" s="17" t="s">
        <v>63</v>
      </c>
      <c r="B20" s="18" t="s">
        <v>13</v>
      </c>
      <c r="C20" s="18" t="s">
        <v>433</v>
      </c>
      <c r="D20" s="19" t="s">
        <v>10</v>
      </c>
      <c r="E20" s="20">
        <f>ROUND(1583+3934.2*0.05+4*93.2,1)</f>
        <v>2152.5</v>
      </c>
      <c r="F20" s="21"/>
      <c r="G20" s="22">
        <f>ROUND(F20*E20,2)</f>
        <v>0</v>
      </c>
    </row>
    <row r="21" spans="1:8" ht="49.5">
      <c r="A21" s="17" t="s">
        <v>64</v>
      </c>
      <c r="B21" s="18" t="s">
        <v>50</v>
      </c>
      <c r="C21" s="18" t="s">
        <v>103</v>
      </c>
      <c r="D21" s="19" t="s">
        <v>10</v>
      </c>
      <c r="E21" s="20">
        <v>10592</v>
      </c>
      <c r="F21" s="21"/>
      <c r="G21" s="22">
        <f>ROUND(F21*E21,2)</f>
        <v>0</v>
      </c>
    </row>
    <row r="22" spans="1:8">
      <c r="A22" s="115" t="s">
        <v>16</v>
      </c>
      <c r="B22" s="113"/>
      <c r="C22" s="113"/>
      <c r="D22" s="113"/>
      <c r="E22" s="113"/>
      <c r="F22" s="116"/>
      <c r="G22" s="23">
        <f>SUM(G19:G21)</f>
        <v>0</v>
      </c>
    </row>
    <row r="23" spans="1:8">
      <c r="A23" s="15">
        <v>4</v>
      </c>
      <c r="B23" s="16"/>
      <c r="C23" s="112" t="s">
        <v>17</v>
      </c>
      <c r="D23" s="113"/>
      <c r="E23" s="113"/>
      <c r="F23" s="113"/>
      <c r="G23" s="114"/>
    </row>
    <row r="24" spans="1:8" ht="50.25" customHeight="1">
      <c r="A24" s="17" t="s">
        <v>65</v>
      </c>
      <c r="B24" s="18" t="s">
        <v>52</v>
      </c>
      <c r="C24" s="18" t="s">
        <v>329</v>
      </c>
      <c r="D24" s="19" t="s">
        <v>37</v>
      </c>
      <c r="E24" s="20">
        <v>1838</v>
      </c>
      <c r="F24" s="21"/>
      <c r="G24" s="22">
        <f t="shared" ref="G24:G30" si="1">ROUND(F24*E24,2)</f>
        <v>0</v>
      </c>
    </row>
    <row r="25" spans="1:8" ht="50.25" customHeight="1">
      <c r="A25" s="17" t="s">
        <v>69</v>
      </c>
      <c r="B25" s="18" t="s">
        <v>52</v>
      </c>
      <c r="C25" s="18" t="s">
        <v>104</v>
      </c>
      <c r="D25" s="19" t="s">
        <v>37</v>
      </c>
      <c r="E25" s="20">
        <v>3934.2</v>
      </c>
      <c r="F25" s="21"/>
      <c r="G25" s="22">
        <f t="shared" ref="G25" si="2">ROUND(F25*E25,2)</f>
        <v>0</v>
      </c>
    </row>
    <row r="26" spans="1:8" ht="36.75" customHeight="1">
      <c r="A26" s="17" t="s">
        <v>71</v>
      </c>
      <c r="B26" s="18" t="s">
        <v>18</v>
      </c>
      <c r="C26" s="18" t="s">
        <v>105</v>
      </c>
      <c r="D26" s="19" t="s">
        <v>10</v>
      </c>
      <c r="E26" s="20">
        <v>1180.3</v>
      </c>
      <c r="F26" s="21"/>
      <c r="G26" s="22">
        <f t="shared" si="1"/>
        <v>0</v>
      </c>
    </row>
    <row r="27" spans="1:8" ht="33" customHeight="1">
      <c r="A27" s="17" t="s">
        <v>74</v>
      </c>
      <c r="B27" s="96" t="s">
        <v>75</v>
      </c>
      <c r="C27" s="18" t="s">
        <v>110</v>
      </c>
      <c r="D27" s="19" t="s">
        <v>37</v>
      </c>
      <c r="E27" s="20">
        <v>74</v>
      </c>
      <c r="F27" s="21"/>
      <c r="G27" s="22">
        <f t="shared" si="1"/>
        <v>0</v>
      </c>
    </row>
    <row r="28" spans="1:8" ht="33" customHeight="1">
      <c r="A28" s="17" t="s">
        <v>82</v>
      </c>
      <c r="B28" s="96" t="s">
        <v>75</v>
      </c>
      <c r="C28" s="18" t="s">
        <v>123</v>
      </c>
      <c r="D28" s="19" t="s">
        <v>37</v>
      </c>
      <c r="E28" s="20">
        <v>78</v>
      </c>
      <c r="F28" s="21"/>
      <c r="G28" s="22">
        <f t="shared" si="1"/>
        <v>0</v>
      </c>
    </row>
    <row r="29" spans="1:8" ht="36.75" customHeight="1">
      <c r="A29" s="17" t="s">
        <v>83</v>
      </c>
      <c r="B29" s="18" t="s">
        <v>66</v>
      </c>
      <c r="C29" s="18" t="s">
        <v>67</v>
      </c>
      <c r="D29" s="19" t="s">
        <v>68</v>
      </c>
      <c r="E29" s="20">
        <v>4</v>
      </c>
      <c r="F29" s="21"/>
      <c r="G29" s="22">
        <f t="shared" si="1"/>
        <v>0</v>
      </c>
    </row>
    <row r="30" spans="1:8" ht="36.75" customHeight="1">
      <c r="A30" s="17" t="s">
        <v>87</v>
      </c>
      <c r="B30" s="18" t="s">
        <v>70</v>
      </c>
      <c r="C30" s="18" t="s">
        <v>106</v>
      </c>
      <c r="D30" s="19" t="s">
        <v>68</v>
      </c>
      <c r="E30" s="20">
        <v>4</v>
      </c>
      <c r="F30" s="21"/>
      <c r="G30" s="22">
        <f t="shared" si="1"/>
        <v>0</v>
      </c>
    </row>
    <row r="31" spans="1:8" ht="20.25" customHeight="1">
      <c r="A31" s="117" t="s">
        <v>19</v>
      </c>
      <c r="B31" s="118"/>
      <c r="C31" s="118"/>
      <c r="D31" s="118"/>
      <c r="E31" s="118"/>
      <c r="F31" s="119"/>
      <c r="G31" s="25">
        <f>SUM(G24:G30)</f>
        <v>0</v>
      </c>
    </row>
    <row r="32" spans="1:8">
      <c r="A32" s="15">
        <v>5</v>
      </c>
      <c r="B32" s="16"/>
      <c r="C32" s="112" t="s">
        <v>112</v>
      </c>
      <c r="D32" s="113"/>
      <c r="E32" s="113"/>
      <c r="F32" s="113"/>
      <c r="G32" s="114"/>
    </row>
    <row r="33" spans="1:10" ht="50.25" customHeight="1">
      <c r="A33" s="17" t="s">
        <v>370</v>
      </c>
      <c r="B33" s="96" t="s">
        <v>75</v>
      </c>
      <c r="C33" s="18" t="s">
        <v>111</v>
      </c>
      <c r="D33" s="19" t="s">
        <v>37</v>
      </c>
      <c r="E33" s="20">
        <v>2000</v>
      </c>
      <c r="F33" s="21"/>
      <c r="G33" s="22">
        <f>ROUND(F33*E33,2)</f>
        <v>0</v>
      </c>
    </row>
    <row r="34" spans="1:10" ht="20.25" customHeight="1">
      <c r="A34" s="117" t="s">
        <v>119</v>
      </c>
      <c r="B34" s="118"/>
      <c r="C34" s="118"/>
      <c r="D34" s="118"/>
      <c r="E34" s="118"/>
      <c r="F34" s="119"/>
      <c r="G34" s="25">
        <f>SUM(G33:G33)</f>
        <v>0</v>
      </c>
    </row>
    <row r="35" spans="1:10">
      <c r="A35" s="15">
        <v>6</v>
      </c>
      <c r="B35" s="16"/>
      <c r="C35" s="112" t="s">
        <v>118</v>
      </c>
      <c r="D35" s="113"/>
      <c r="E35" s="113"/>
      <c r="F35" s="113"/>
      <c r="G35" s="114"/>
    </row>
    <row r="36" spans="1:10" ht="54.75" customHeight="1">
      <c r="A36" s="17" t="s">
        <v>121</v>
      </c>
      <c r="B36" s="96" t="s">
        <v>75</v>
      </c>
      <c r="C36" s="18" t="s">
        <v>115</v>
      </c>
      <c r="D36" s="19" t="s">
        <v>37</v>
      </c>
      <c r="E36" s="20">
        <f>6*25</f>
        <v>150</v>
      </c>
      <c r="F36" s="21"/>
      <c r="G36" s="22">
        <f>ROUND(F36*E36,2)</f>
        <v>0</v>
      </c>
    </row>
    <row r="37" spans="1:10" ht="75" customHeight="1">
      <c r="A37" s="17" t="s">
        <v>371</v>
      </c>
      <c r="B37" s="96" t="s">
        <v>75</v>
      </c>
      <c r="C37" s="18" t="s">
        <v>116</v>
      </c>
      <c r="D37" s="19" t="s">
        <v>68</v>
      </c>
      <c r="E37" s="20">
        <v>40</v>
      </c>
      <c r="F37" s="21"/>
      <c r="G37" s="22">
        <f>ROUND(F37*E37,2)</f>
        <v>0</v>
      </c>
    </row>
    <row r="38" spans="1:10" ht="50.25" customHeight="1">
      <c r="A38" s="17" t="s">
        <v>372</v>
      </c>
      <c r="B38" s="96" t="s">
        <v>75</v>
      </c>
      <c r="C38" s="18" t="s">
        <v>122</v>
      </c>
      <c r="D38" s="19" t="s">
        <v>10</v>
      </c>
      <c r="E38" s="20">
        <f>15*17</f>
        <v>255</v>
      </c>
      <c r="F38" s="21"/>
      <c r="G38" s="22">
        <f>ROUND(F38*E38,2)</f>
        <v>0</v>
      </c>
    </row>
    <row r="39" spans="1:10" ht="20.25" customHeight="1" thickBot="1">
      <c r="A39" s="117" t="s">
        <v>120</v>
      </c>
      <c r="B39" s="118"/>
      <c r="C39" s="118"/>
      <c r="D39" s="118"/>
      <c r="E39" s="118"/>
      <c r="F39" s="119"/>
      <c r="G39" s="25">
        <f>SUM(G36:G38)</f>
        <v>0</v>
      </c>
    </row>
    <row r="40" spans="1:10" s="26" customFormat="1" ht="34.5" customHeight="1" thickTop="1">
      <c r="A40" s="120" t="s">
        <v>20</v>
      </c>
      <c r="B40" s="121"/>
      <c r="C40" s="121"/>
      <c r="D40" s="121"/>
      <c r="E40" s="121"/>
      <c r="F40" s="122">
        <f>+G39+G34+G31+G22+G17+G11</f>
        <v>0</v>
      </c>
      <c r="G40" s="123"/>
      <c r="H40" s="1"/>
    </row>
    <row r="41" spans="1:10">
      <c r="A41" s="124" t="s">
        <v>21</v>
      </c>
      <c r="B41" s="125"/>
      <c r="C41" s="125"/>
      <c r="D41" s="125"/>
      <c r="E41" s="126"/>
      <c r="F41" s="127">
        <f>ROUND(F40*0.23,2)</f>
        <v>0</v>
      </c>
      <c r="G41" s="128"/>
    </row>
    <row r="42" spans="1:10" ht="42" customHeight="1" thickBot="1">
      <c r="A42" s="107" t="s">
        <v>404</v>
      </c>
      <c r="B42" s="108"/>
      <c r="C42" s="108"/>
      <c r="D42" s="108"/>
      <c r="E42" s="108"/>
      <c r="F42" s="109">
        <f>+F41+F40</f>
        <v>0</v>
      </c>
      <c r="G42" s="110"/>
      <c r="I42" s="3" t="s">
        <v>109</v>
      </c>
    </row>
    <row r="43" spans="1:10" ht="17.25" thickTop="1"/>
    <row r="44" spans="1:10">
      <c r="C44" s="1"/>
      <c r="G44" s="1">
        <f>+F42</f>
        <v>0</v>
      </c>
    </row>
    <row r="45" spans="1:10" s="1" customFormat="1">
      <c r="A45" s="3"/>
      <c r="B45" s="3"/>
      <c r="C45" s="3"/>
      <c r="D45" s="27"/>
      <c r="E45" s="111">
        <f>+G44/E7</f>
        <v>0</v>
      </c>
      <c r="F45" s="111"/>
      <c r="G45" s="1" t="s">
        <v>98</v>
      </c>
      <c r="I45" s="3"/>
      <c r="J45" s="3"/>
    </row>
  </sheetData>
  <mergeCells count="22">
    <mergeCell ref="C12:G12"/>
    <mergeCell ref="A31:F31"/>
    <mergeCell ref="C32:G32"/>
    <mergeCell ref="A34:F34"/>
    <mergeCell ref="C35:G35"/>
    <mergeCell ref="A17:F17"/>
    <mergeCell ref="C18:G18"/>
    <mergeCell ref="A22:F22"/>
    <mergeCell ref="C23:G23"/>
    <mergeCell ref="A1:G1"/>
    <mergeCell ref="A2:G2"/>
    <mergeCell ref="A3:G3"/>
    <mergeCell ref="C6:G6"/>
    <mergeCell ref="A11:F11"/>
    <mergeCell ref="E45:F45"/>
    <mergeCell ref="A39:F39"/>
    <mergeCell ref="A41:E41"/>
    <mergeCell ref="F41:G41"/>
    <mergeCell ref="A42:E42"/>
    <mergeCell ref="F42:G42"/>
    <mergeCell ref="A40:E40"/>
    <mergeCell ref="F40:G40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showGridLines="0" zoomScale="115" zoomScaleNormal="115" workbookViewId="0">
      <selection activeCell="F33" sqref="F33:F37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8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8" ht="17.25" customHeight="1">
      <c r="A2" s="133" t="s">
        <v>363</v>
      </c>
      <c r="B2" s="133"/>
      <c r="C2" s="133"/>
      <c r="D2" s="133"/>
      <c r="E2" s="133"/>
      <c r="F2" s="133"/>
      <c r="G2" s="133"/>
    </row>
    <row r="3" spans="1:8" ht="7.5" customHeight="1" thickBot="1">
      <c r="A3" s="134"/>
      <c r="B3" s="134"/>
      <c r="C3" s="134"/>
      <c r="D3" s="134"/>
      <c r="E3" s="134"/>
      <c r="F3" s="134"/>
      <c r="G3" s="134"/>
    </row>
    <row r="4" spans="1:8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8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8">
      <c r="A6" s="15">
        <v>1</v>
      </c>
      <c r="B6" s="16"/>
      <c r="C6" s="112" t="s">
        <v>26</v>
      </c>
      <c r="D6" s="113"/>
      <c r="E6" s="113"/>
      <c r="F6" s="113"/>
      <c r="G6" s="114"/>
    </row>
    <row r="7" spans="1:8" ht="33">
      <c r="A7" s="17" t="s">
        <v>7</v>
      </c>
      <c r="B7" s="18" t="s">
        <v>9</v>
      </c>
      <c r="C7" s="18" t="s">
        <v>92</v>
      </c>
      <c r="D7" s="19" t="s">
        <v>93</v>
      </c>
      <c r="E7" s="20">
        <v>1.409</v>
      </c>
      <c r="F7" s="21"/>
      <c r="G7" s="22">
        <f t="shared" ref="G7:G8" si="0">ROUND(F7*E7,2)</f>
        <v>0</v>
      </c>
    </row>
    <row r="8" spans="1:8" ht="80.25" customHeight="1">
      <c r="A8" s="17" t="s">
        <v>8</v>
      </c>
      <c r="B8" s="18" t="s">
        <v>58</v>
      </c>
      <c r="C8" s="18" t="s">
        <v>155</v>
      </c>
      <c r="D8" s="19" t="s">
        <v>11</v>
      </c>
      <c r="E8" s="20">
        <f>422.2+27</f>
        <v>449.2</v>
      </c>
      <c r="F8" s="21"/>
      <c r="G8" s="22">
        <f t="shared" si="0"/>
        <v>0</v>
      </c>
    </row>
    <row r="9" spans="1:8" ht="50.25" customHeight="1">
      <c r="A9" s="17" t="s">
        <v>38</v>
      </c>
      <c r="B9" s="24" t="s">
        <v>52</v>
      </c>
      <c r="C9" s="18" t="s">
        <v>156</v>
      </c>
      <c r="D9" s="19" t="s">
        <v>10</v>
      </c>
      <c r="E9" s="20">
        <v>1157.8</v>
      </c>
      <c r="F9" s="21"/>
      <c r="G9" s="22">
        <f>ROUND(F9*E9,2)</f>
        <v>0</v>
      </c>
    </row>
    <row r="10" spans="1:8" ht="54" customHeight="1">
      <c r="A10" s="17" t="s">
        <v>59</v>
      </c>
      <c r="B10" s="24" t="s">
        <v>76</v>
      </c>
      <c r="C10" s="18" t="s">
        <v>157</v>
      </c>
      <c r="D10" s="19" t="s">
        <v>10</v>
      </c>
      <c r="E10" s="20">
        <v>1153</v>
      </c>
      <c r="F10" s="21"/>
      <c r="G10" s="22">
        <f>ROUND(F10*E10,2)</f>
        <v>0</v>
      </c>
    </row>
    <row r="11" spans="1:8">
      <c r="A11" s="115" t="s">
        <v>84</v>
      </c>
      <c r="B11" s="113"/>
      <c r="C11" s="113"/>
      <c r="D11" s="113"/>
      <c r="E11" s="113"/>
      <c r="F11" s="116"/>
      <c r="G11" s="23">
        <f>SUM(G7:G10)</f>
        <v>0</v>
      </c>
    </row>
    <row r="12" spans="1:8">
      <c r="A12" s="15">
        <v>2</v>
      </c>
      <c r="B12" s="16"/>
      <c r="C12" s="112" t="s">
        <v>23</v>
      </c>
      <c r="D12" s="113"/>
      <c r="E12" s="113"/>
      <c r="F12" s="113"/>
      <c r="G12" s="114"/>
    </row>
    <row r="13" spans="1:8" ht="33" customHeight="1">
      <c r="A13" s="17" t="s">
        <v>53</v>
      </c>
      <c r="B13" s="24" t="s">
        <v>75</v>
      </c>
      <c r="C13" s="18" t="s">
        <v>420</v>
      </c>
      <c r="D13" s="19" t="s">
        <v>37</v>
      </c>
      <c r="E13" s="20">
        <v>63</v>
      </c>
      <c r="F13" s="21"/>
      <c r="G13" s="22">
        <f>ROUND(F13*E13,2)</f>
        <v>0</v>
      </c>
    </row>
    <row r="14" spans="1:8" ht="33" customHeight="1">
      <c r="A14" s="17" t="s">
        <v>53</v>
      </c>
      <c r="B14" s="24" t="s">
        <v>85</v>
      </c>
      <c r="C14" s="18" t="s">
        <v>417</v>
      </c>
      <c r="D14" s="19" t="s">
        <v>11</v>
      </c>
      <c r="E14" s="20">
        <v>14.5</v>
      </c>
      <c r="F14" s="21"/>
      <c r="G14" s="22">
        <f>ROUND(F14*E14,2)</f>
        <v>0</v>
      </c>
    </row>
    <row r="15" spans="1:8" ht="33" customHeight="1">
      <c r="A15" s="17" t="s">
        <v>56</v>
      </c>
      <c r="B15" s="18" t="s">
        <v>75</v>
      </c>
      <c r="C15" s="18" t="s">
        <v>418</v>
      </c>
      <c r="D15" s="19" t="s">
        <v>37</v>
      </c>
      <c r="E15" s="20">
        <f>6*9</f>
        <v>54</v>
      </c>
      <c r="F15" s="21"/>
      <c r="G15" s="22">
        <f>ROUND(F15*E15,2)</f>
        <v>0</v>
      </c>
    </row>
    <row r="16" spans="1:8" ht="33" customHeight="1">
      <c r="A16" s="17" t="s">
        <v>60</v>
      </c>
      <c r="B16" s="18" t="s">
        <v>75</v>
      </c>
      <c r="C16" s="18" t="s">
        <v>419</v>
      </c>
      <c r="D16" s="19" t="s">
        <v>37</v>
      </c>
      <c r="E16" s="20">
        <v>9</v>
      </c>
      <c r="F16" s="21"/>
      <c r="G16" s="22">
        <f>ROUND(F16*E16,2)</f>
        <v>0</v>
      </c>
    </row>
    <row r="17" spans="1:7" ht="32.25" customHeight="1">
      <c r="A17" s="17" t="s">
        <v>61</v>
      </c>
      <c r="B17" s="18" t="s">
        <v>72</v>
      </c>
      <c r="C17" s="18" t="s">
        <v>27</v>
      </c>
      <c r="D17" s="19" t="s">
        <v>11</v>
      </c>
      <c r="E17" s="20">
        <v>30</v>
      </c>
      <c r="F17" s="21"/>
      <c r="G17" s="22">
        <f>ROUND(F17*E17,2)</f>
        <v>0</v>
      </c>
    </row>
    <row r="18" spans="1:7">
      <c r="A18" s="115" t="s">
        <v>22</v>
      </c>
      <c r="B18" s="113"/>
      <c r="C18" s="113"/>
      <c r="D18" s="113"/>
      <c r="E18" s="113"/>
      <c r="F18" s="116"/>
      <c r="G18" s="23">
        <f>SUM(G13:G17)</f>
        <v>0</v>
      </c>
    </row>
    <row r="19" spans="1:7">
      <c r="A19" s="15">
        <v>3</v>
      </c>
      <c r="B19" s="16"/>
      <c r="C19" s="112" t="s">
        <v>12</v>
      </c>
      <c r="D19" s="113"/>
      <c r="E19" s="113"/>
      <c r="F19" s="113"/>
      <c r="G19" s="114"/>
    </row>
    <row r="20" spans="1:7" ht="66">
      <c r="A20" s="17" t="s">
        <v>429</v>
      </c>
      <c r="B20" s="18" t="s">
        <v>81</v>
      </c>
      <c r="C20" s="18" t="s">
        <v>96</v>
      </c>
      <c r="D20" s="19" t="s">
        <v>14</v>
      </c>
      <c r="E20" s="20">
        <f>456.7+268.5</f>
        <v>725.2</v>
      </c>
      <c r="F20" s="21"/>
      <c r="G20" s="22">
        <f>ROUND(F20*E20,2)</f>
        <v>0</v>
      </c>
    </row>
    <row r="21" spans="1:7" ht="66">
      <c r="A21" s="17" t="s">
        <v>430</v>
      </c>
      <c r="B21" s="18" t="s">
        <v>13</v>
      </c>
      <c r="C21" s="18" t="s">
        <v>431</v>
      </c>
      <c r="D21" s="19" t="s">
        <v>10</v>
      </c>
      <c r="E21" s="20">
        <f>209+87.5</f>
        <v>296.5</v>
      </c>
      <c r="F21" s="21"/>
      <c r="G21" s="22">
        <f>ROUND(F21*E21,2)</f>
        <v>0</v>
      </c>
    </row>
    <row r="22" spans="1:7" ht="49.5">
      <c r="A22" s="17" t="s">
        <v>63</v>
      </c>
      <c r="B22" s="18" t="s">
        <v>50</v>
      </c>
      <c r="C22" s="18" t="s">
        <v>95</v>
      </c>
      <c r="D22" s="19" t="s">
        <v>10</v>
      </c>
      <c r="E22" s="20">
        <v>7256</v>
      </c>
      <c r="F22" s="21"/>
      <c r="G22" s="22">
        <f>ROUND(F22*E22,2)</f>
        <v>0</v>
      </c>
    </row>
    <row r="23" spans="1:7">
      <c r="A23" s="115" t="s">
        <v>16</v>
      </c>
      <c r="B23" s="113"/>
      <c r="C23" s="113"/>
      <c r="D23" s="113"/>
      <c r="E23" s="113"/>
      <c r="F23" s="116"/>
      <c r="G23" s="23">
        <f>SUM(G20:G22)</f>
        <v>0</v>
      </c>
    </row>
    <row r="24" spans="1:7">
      <c r="A24" s="15">
        <v>4</v>
      </c>
      <c r="B24" s="16"/>
      <c r="C24" s="112" t="s">
        <v>112</v>
      </c>
      <c r="D24" s="113"/>
      <c r="E24" s="113"/>
      <c r="F24" s="113"/>
      <c r="G24" s="114"/>
    </row>
    <row r="25" spans="1:7" ht="50.25" customHeight="1">
      <c r="A25" s="17" t="s">
        <v>113</v>
      </c>
      <c r="B25" s="96" t="s">
        <v>75</v>
      </c>
      <c r="C25" s="18" t="s">
        <v>421</v>
      </c>
      <c r="D25" s="19" t="s">
        <v>37</v>
      </c>
      <c r="E25" s="20">
        <v>1650</v>
      </c>
      <c r="F25" s="21"/>
      <c r="G25" s="22">
        <f>ROUND(F25*E25,2)</f>
        <v>0</v>
      </c>
    </row>
    <row r="26" spans="1:7" ht="20.25" customHeight="1">
      <c r="A26" s="117" t="s">
        <v>119</v>
      </c>
      <c r="B26" s="118"/>
      <c r="C26" s="118"/>
      <c r="D26" s="118"/>
      <c r="E26" s="118"/>
      <c r="F26" s="119"/>
      <c r="G26" s="25">
        <f>SUM(G25:G25)</f>
        <v>0</v>
      </c>
    </row>
    <row r="27" spans="1:7">
      <c r="A27" s="15">
        <v>5</v>
      </c>
      <c r="B27" s="16"/>
      <c r="C27" s="112" t="s">
        <v>118</v>
      </c>
      <c r="D27" s="113"/>
      <c r="E27" s="113"/>
      <c r="F27" s="113"/>
      <c r="G27" s="114"/>
    </row>
    <row r="28" spans="1:7" ht="54.75" customHeight="1">
      <c r="A28" s="17" t="s">
        <v>427</v>
      </c>
      <c r="B28" s="96" t="s">
        <v>75</v>
      </c>
      <c r="C28" s="18" t="s">
        <v>422</v>
      </c>
      <c r="D28" s="19" t="s">
        <v>37</v>
      </c>
      <c r="E28" s="20">
        <v>168</v>
      </c>
      <c r="F28" s="21"/>
      <c r="G28" s="22">
        <f>ROUND(F28*E28,2)</f>
        <v>0</v>
      </c>
    </row>
    <row r="29" spans="1:7" ht="75" customHeight="1">
      <c r="A29" s="17" t="s">
        <v>86</v>
      </c>
      <c r="B29" s="96" t="s">
        <v>75</v>
      </c>
      <c r="C29" s="18" t="s">
        <v>116</v>
      </c>
      <c r="D29" s="19" t="s">
        <v>68</v>
      </c>
      <c r="E29" s="20">
        <v>44</v>
      </c>
      <c r="F29" s="21"/>
      <c r="G29" s="22">
        <f>ROUND(F29*E29,2)</f>
        <v>0</v>
      </c>
    </row>
    <row r="30" spans="1:7" ht="50.25" customHeight="1">
      <c r="A30" s="17" t="s">
        <v>89</v>
      </c>
      <c r="B30" s="96" t="s">
        <v>75</v>
      </c>
      <c r="C30" s="18" t="s">
        <v>423</v>
      </c>
      <c r="D30" s="19" t="s">
        <v>10</v>
      </c>
      <c r="E30" s="20">
        <v>60</v>
      </c>
      <c r="F30" s="21"/>
      <c r="G30" s="22">
        <f>ROUND(F30*E30,2)</f>
        <v>0</v>
      </c>
    </row>
    <row r="31" spans="1:7" ht="20.25" customHeight="1">
      <c r="A31" s="117" t="s">
        <v>120</v>
      </c>
      <c r="B31" s="118"/>
      <c r="C31" s="118"/>
      <c r="D31" s="118"/>
      <c r="E31" s="118"/>
      <c r="F31" s="119"/>
      <c r="G31" s="25">
        <f>SUM(G28:G30)</f>
        <v>0</v>
      </c>
    </row>
    <row r="32" spans="1:7">
      <c r="A32" s="15">
        <v>6</v>
      </c>
      <c r="B32" s="16"/>
      <c r="C32" s="112" t="s">
        <v>17</v>
      </c>
      <c r="D32" s="113"/>
      <c r="E32" s="113"/>
      <c r="F32" s="113"/>
      <c r="G32" s="114"/>
    </row>
    <row r="33" spans="1:8" ht="50.25" customHeight="1">
      <c r="A33" s="17" t="s">
        <v>354</v>
      </c>
      <c r="B33" s="18" t="s">
        <v>52</v>
      </c>
      <c r="C33" s="18" t="s">
        <v>330</v>
      </c>
      <c r="D33" s="19" t="s">
        <v>37</v>
      </c>
      <c r="E33" s="20">
        <v>1480</v>
      </c>
      <c r="F33" s="21"/>
      <c r="G33" s="22">
        <f>ROUND(F33*E33,2)</f>
        <v>0</v>
      </c>
    </row>
    <row r="34" spans="1:8" ht="50.25" customHeight="1">
      <c r="A34" s="17" t="s">
        <v>373</v>
      </c>
      <c r="B34" s="18" t="s">
        <v>52</v>
      </c>
      <c r="C34" s="18" t="s">
        <v>158</v>
      </c>
      <c r="D34" s="19" t="s">
        <v>37</v>
      </c>
      <c r="E34" s="20">
        <v>2822</v>
      </c>
      <c r="F34" s="21"/>
      <c r="G34" s="22">
        <f>ROUND(F34*E34,2)</f>
        <v>0</v>
      </c>
    </row>
    <row r="35" spans="1:8" ht="36.75" customHeight="1">
      <c r="A35" s="17" t="s">
        <v>374</v>
      </c>
      <c r="B35" s="18" t="s">
        <v>18</v>
      </c>
      <c r="C35" s="18" t="s">
        <v>159</v>
      </c>
      <c r="D35" s="19" t="s">
        <v>10</v>
      </c>
      <c r="E35" s="20">
        <v>846.6</v>
      </c>
      <c r="F35" s="21"/>
      <c r="G35" s="22">
        <f>ROUND(F35*E35,2)</f>
        <v>0</v>
      </c>
    </row>
    <row r="36" spans="1:8" ht="36.75" customHeight="1">
      <c r="A36" s="17" t="s">
        <v>114</v>
      </c>
      <c r="B36" s="18" t="s">
        <v>66</v>
      </c>
      <c r="C36" s="18" t="s">
        <v>67</v>
      </c>
      <c r="D36" s="19" t="s">
        <v>68</v>
      </c>
      <c r="E36" s="20">
        <v>2</v>
      </c>
      <c r="F36" s="21"/>
      <c r="G36" s="22">
        <f>ROUND(F36*E36,2)</f>
        <v>0</v>
      </c>
    </row>
    <row r="37" spans="1:8" ht="36.75" customHeight="1">
      <c r="A37" s="17" t="s">
        <v>117</v>
      </c>
      <c r="B37" s="18" t="s">
        <v>70</v>
      </c>
      <c r="C37" s="18" t="s">
        <v>97</v>
      </c>
      <c r="D37" s="19" t="s">
        <v>68</v>
      </c>
      <c r="E37" s="20">
        <v>2</v>
      </c>
      <c r="F37" s="21"/>
      <c r="G37" s="22">
        <f>ROUND(F37*E37,2)</f>
        <v>0</v>
      </c>
    </row>
    <row r="38" spans="1:8" ht="17.25" thickBot="1">
      <c r="A38" s="117" t="s">
        <v>19</v>
      </c>
      <c r="B38" s="118"/>
      <c r="C38" s="118"/>
      <c r="D38" s="118"/>
      <c r="E38" s="118"/>
      <c r="F38" s="119"/>
      <c r="G38" s="25">
        <f>SUM(G33:G37)</f>
        <v>0</v>
      </c>
    </row>
    <row r="39" spans="1:8" s="26" customFormat="1" ht="21.75" customHeight="1" thickTop="1">
      <c r="A39" s="120" t="s">
        <v>20</v>
      </c>
      <c r="B39" s="121"/>
      <c r="C39" s="121"/>
      <c r="D39" s="121"/>
      <c r="E39" s="121"/>
      <c r="F39" s="122">
        <f>+G38+G31+G26+G23+G18+G11</f>
        <v>0</v>
      </c>
      <c r="G39" s="123"/>
      <c r="H39" s="1"/>
    </row>
    <row r="40" spans="1:8" ht="14.25" customHeight="1">
      <c r="A40" s="124" t="s">
        <v>21</v>
      </c>
      <c r="B40" s="125"/>
      <c r="C40" s="125"/>
      <c r="D40" s="125"/>
      <c r="E40" s="126"/>
      <c r="F40" s="127">
        <f>ROUND(F39*0.23,2)</f>
        <v>0</v>
      </c>
      <c r="G40" s="128"/>
    </row>
    <row r="41" spans="1:8" ht="21.75" customHeight="1" thickBot="1">
      <c r="A41" s="107" t="s">
        <v>404</v>
      </c>
      <c r="B41" s="108"/>
      <c r="C41" s="108"/>
      <c r="D41" s="108"/>
      <c r="E41" s="108"/>
      <c r="F41" s="109">
        <f>+F40+F39</f>
        <v>0</v>
      </c>
      <c r="G41" s="110"/>
    </row>
    <row r="42" spans="1:8" ht="17.25" thickTop="1"/>
    <row r="43" spans="1:8">
      <c r="C43" s="1"/>
      <c r="G43" s="1">
        <f>+F41</f>
        <v>0</v>
      </c>
    </row>
    <row r="44" spans="1:8">
      <c r="E44" s="111">
        <f>+G43/E7</f>
        <v>0</v>
      </c>
      <c r="F44" s="111"/>
      <c r="G44" s="1" t="s">
        <v>98</v>
      </c>
    </row>
  </sheetData>
  <mergeCells count="22">
    <mergeCell ref="A31:F31"/>
    <mergeCell ref="A1:G1"/>
    <mergeCell ref="A2:G2"/>
    <mergeCell ref="A3:G3"/>
    <mergeCell ref="C6:G6"/>
    <mergeCell ref="A11:F11"/>
    <mergeCell ref="A38:F38"/>
    <mergeCell ref="A39:E39"/>
    <mergeCell ref="F39:G39"/>
    <mergeCell ref="C12:G12"/>
    <mergeCell ref="E44:F44"/>
    <mergeCell ref="A40:E40"/>
    <mergeCell ref="F40:G40"/>
    <mergeCell ref="A41:E41"/>
    <mergeCell ref="F41:G41"/>
    <mergeCell ref="A18:F18"/>
    <mergeCell ref="C19:G19"/>
    <mergeCell ref="A23:F23"/>
    <mergeCell ref="C32:G32"/>
    <mergeCell ref="C24:G24"/>
    <mergeCell ref="A26:F26"/>
    <mergeCell ref="C27:G27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zoomScale="115" zoomScaleNormal="115" workbookViewId="0">
      <selection activeCell="F32" sqref="F32:F38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8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8" ht="34.5" customHeight="1">
      <c r="A2" s="133" t="s">
        <v>362</v>
      </c>
      <c r="B2" s="133"/>
      <c r="C2" s="133"/>
      <c r="D2" s="133"/>
      <c r="E2" s="133"/>
      <c r="F2" s="133"/>
      <c r="G2" s="133"/>
    </row>
    <row r="3" spans="1:8" ht="15.75" customHeight="1" thickBot="1">
      <c r="A3" s="134"/>
      <c r="B3" s="134"/>
      <c r="C3" s="134"/>
      <c r="D3" s="134"/>
      <c r="E3" s="134"/>
      <c r="F3" s="134"/>
      <c r="G3" s="134"/>
    </row>
    <row r="4" spans="1:8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8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8">
      <c r="A6" s="15">
        <v>1</v>
      </c>
      <c r="B6" s="16"/>
      <c r="C6" s="112" t="s">
        <v>26</v>
      </c>
      <c r="D6" s="113"/>
      <c r="E6" s="113"/>
      <c r="F6" s="113"/>
      <c r="G6" s="114"/>
    </row>
    <row r="7" spans="1:8" ht="33">
      <c r="A7" s="17" t="s">
        <v>7</v>
      </c>
      <c r="B7" s="18" t="s">
        <v>9</v>
      </c>
      <c r="C7" s="18" t="s">
        <v>92</v>
      </c>
      <c r="D7" s="19" t="s">
        <v>93</v>
      </c>
      <c r="E7" s="20">
        <v>0.98</v>
      </c>
      <c r="F7" s="21"/>
      <c r="G7" s="22">
        <f t="shared" ref="G7:G9" si="0">ROUND(F7*E7,2)</f>
        <v>0</v>
      </c>
    </row>
    <row r="8" spans="1:8" ht="80.25" customHeight="1">
      <c r="A8" s="17" t="s">
        <v>8</v>
      </c>
      <c r="B8" s="18" t="s">
        <v>58</v>
      </c>
      <c r="C8" s="18" t="s">
        <v>169</v>
      </c>
      <c r="D8" s="19" t="s">
        <v>11</v>
      </c>
      <c r="E8" s="20">
        <f>601+33</f>
        <v>634</v>
      </c>
      <c r="F8" s="21"/>
      <c r="G8" s="22">
        <f t="shared" si="0"/>
        <v>0</v>
      </c>
    </row>
    <row r="9" spans="1:8" ht="48" customHeight="1">
      <c r="A9" s="17" t="s">
        <v>38</v>
      </c>
      <c r="B9" s="18" t="s">
        <v>75</v>
      </c>
      <c r="C9" s="18" t="s">
        <v>176</v>
      </c>
      <c r="D9" s="19" t="s">
        <v>11</v>
      </c>
      <c r="E9" s="20">
        <v>1596</v>
      </c>
      <c r="F9" s="21"/>
      <c r="G9" s="22">
        <f t="shared" si="0"/>
        <v>0</v>
      </c>
    </row>
    <row r="10" spans="1:8" ht="50.25" customHeight="1">
      <c r="A10" s="17" t="s">
        <v>59</v>
      </c>
      <c r="B10" s="24" t="s">
        <v>52</v>
      </c>
      <c r="C10" s="18" t="s">
        <v>170</v>
      </c>
      <c r="D10" s="19" t="s">
        <v>10</v>
      </c>
      <c r="E10" s="20">
        <f>404+1082+110</f>
        <v>1596</v>
      </c>
      <c r="F10" s="21"/>
      <c r="G10" s="22">
        <f>ROUND(F10*E10,2)</f>
        <v>0</v>
      </c>
    </row>
    <row r="11" spans="1:8" ht="54" customHeight="1">
      <c r="A11" s="17" t="s">
        <v>39</v>
      </c>
      <c r="B11" s="24" t="s">
        <v>76</v>
      </c>
      <c r="C11" s="18" t="s">
        <v>171</v>
      </c>
      <c r="D11" s="19" t="s">
        <v>10</v>
      </c>
      <c r="E11" s="20">
        <v>1596</v>
      </c>
      <c r="F11" s="21"/>
      <c r="G11" s="22">
        <f>ROUND(F11*E11,2)</f>
        <v>0</v>
      </c>
    </row>
    <row r="12" spans="1:8">
      <c r="A12" s="115" t="s">
        <v>84</v>
      </c>
      <c r="B12" s="113"/>
      <c r="C12" s="113"/>
      <c r="D12" s="113"/>
      <c r="E12" s="113"/>
      <c r="F12" s="116"/>
      <c r="G12" s="23">
        <f>SUM(G7:G11)</f>
        <v>0</v>
      </c>
    </row>
    <row r="13" spans="1:8">
      <c r="A13" s="15">
        <v>2</v>
      </c>
      <c r="B13" s="16"/>
      <c r="C13" s="112" t="s">
        <v>23</v>
      </c>
      <c r="D13" s="113"/>
      <c r="E13" s="113"/>
      <c r="F13" s="113"/>
      <c r="G13" s="114"/>
    </row>
    <row r="14" spans="1:8" ht="33" customHeight="1">
      <c r="A14" s="17" t="s">
        <v>56</v>
      </c>
      <c r="B14" s="18" t="s">
        <v>75</v>
      </c>
      <c r="C14" s="18" t="s">
        <v>172</v>
      </c>
      <c r="D14" s="19" t="s">
        <v>37</v>
      </c>
      <c r="E14" s="20">
        <v>6</v>
      </c>
      <c r="F14" s="21"/>
      <c r="G14" s="22">
        <f>ROUND(F14*E14,2)</f>
        <v>0</v>
      </c>
    </row>
    <row r="15" spans="1:8" s="92" customFormat="1" ht="66" customHeight="1">
      <c r="A15" s="95" t="s">
        <v>60</v>
      </c>
      <c r="B15" s="96" t="s">
        <v>75</v>
      </c>
      <c r="C15" s="96" t="s">
        <v>173</v>
      </c>
      <c r="D15" s="97" t="s">
        <v>68</v>
      </c>
      <c r="E15" s="98">
        <v>18</v>
      </c>
      <c r="F15" s="99"/>
      <c r="G15" s="100">
        <f>ROUND(F15*E15,2)</f>
        <v>0</v>
      </c>
      <c r="H15" s="91"/>
    </row>
    <row r="16" spans="1:8" ht="33" customHeight="1">
      <c r="A16" s="17" t="s">
        <v>61</v>
      </c>
      <c r="B16" s="24" t="s">
        <v>85</v>
      </c>
      <c r="C16" s="18" t="s">
        <v>174</v>
      </c>
      <c r="D16" s="19" t="s">
        <v>11</v>
      </c>
      <c r="E16" s="20">
        <v>9</v>
      </c>
      <c r="F16" s="21"/>
      <c r="G16" s="22">
        <f>ROUND(F16*E16,2)</f>
        <v>0</v>
      </c>
    </row>
    <row r="17" spans="1:7" ht="32.25" customHeight="1">
      <c r="A17" s="95" t="s">
        <v>62</v>
      </c>
      <c r="B17" s="18" t="s">
        <v>72</v>
      </c>
      <c r="C17" s="18" t="s">
        <v>175</v>
      </c>
      <c r="D17" s="19" t="s">
        <v>11</v>
      </c>
      <c r="E17" s="20">
        <v>24</v>
      </c>
      <c r="F17" s="21"/>
      <c r="G17" s="22">
        <f>ROUND(F17*E17,2)</f>
        <v>0</v>
      </c>
    </row>
    <row r="18" spans="1:7">
      <c r="A18" s="115" t="s">
        <v>22</v>
      </c>
      <c r="B18" s="113"/>
      <c r="C18" s="113"/>
      <c r="D18" s="113"/>
      <c r="E18" s="113"/>
      <c r="F18" s="116"/>
      <c r="G18" s="23">
        <f>SUM(G14:G17)</f>
        <v>0</v>
      </c>
    </row>
    <row r="19" spans="1:7">
      <c r="A19" s="15">
        <v>3</v>
      </c>
      <c r="B19" s="16"/>
      <c r="C19" s="112" t="s">
        <v>12</v>
      </c>
      <c r="D19" s="113"/>
      <c r="E19" s="113"/>
      <c r="F19" s="113"/>
      <c r="G19" s="114"/>
    </row>
    <row r="20" spans="1:7" ht="99">
      <c r="A20" s="17" t="s">
        <v>63</v>
      </c>
      <c r="B20" s="18" t="s">
        <v>81</v>
      </c>
      <c r="C20" s="18" t="s">
        <v>432</v>
      </c>
      <c r="D20" s="19" t="s">
        <v>14</v>
      </c>
      <c r="E20" s="20">
        <f>270.5+18.5+51</f>
        <v>340</v>
      </c>
      <c r="F20" s="21"/>
      <c r="G20" s="22">
        <f>ROUND(F20*E20,2)</f>
        <v>0</v>
      </c>
    </row>
    <row r="21" spans="1:7" ht="49.5">
      <c r="A21" s="17" t="s">
        <v>64</v>
      </c>
      <c r="B21" s="18" t="s">
        <v>50</v>
      </c>
      <c r="C21" s="18" t="s">
        <v>177</v>
      </c>
      <c r="D21" s="19" t="s">
        <v>10</v>
      </c>
      <c r="E21" s="20">
        <v>4026</v>
      </c>
      <c r="F21" s="21"/>
      <c r="G21" s="22">
        <f>ROUND(F21*E21,2)</f>
        <v>0</v>
      </c>
    </row>
    <row r="22" spans="1:7">
      <c r="A22" s="115" t="s">
        <v>16</v>
      </c>
      <c r="B22" s="113"/>
      <c r="C22" s="113"/>
      <c r="D22" s="113"/>
      <c r="E22" s="113"/>
      <c r="F22" s="116"/>
      <c r="G22" s="23">
        <f>SUM(G20:G21)</f>
        <v>0</v>
      </c>
    </row>
    <row r="23" spans="1:7">
      <c r="A23" s="15">
        <v>4</v>
      </c>
      <c r="B23" s="16"/>
      <c r="C23" s="112" t="s">
        <v>112</v>
      </c>
      <c r="D23" s="113"/>
      <c r="E23" s="113"/>
      <c r="F23" s="113"/>
      <c r="G23" s="114"/>
    </row>
    <row r="24" spans="1:7" ht="50.25" customHeight="1">
      <c r="A24" s="17" t="s">
        <v>65</v>
      </c>
      <c r="B24" s="96" t="s">
        <v>75</v>
      </c>
      <c r="C24" s="18" t="s">
        <v>182</v>
      </c>
      <c r="D24" s="19" t="s">
        <v>37</v>
      </c>
      <c r="E24" s="20">
        <v>1000</v>
      </c>
      <c r="F24" s="21"/>
      <c r="G24" s="22">
        <f>ROUND(F24*E24,2)</f>
        <v>0</v>
      </c>
    </row>
    <row r="25" spans="1:7" ht="20.25" customHeight="1">
      <c r="A25" s="117" t="s">
        <v>119</v>
      </c>
      <c r="B25" s="118"/>
      <c r="C25" s="118"/>
      <c r="D25" s="118"/>
      <c r="E25" s="118"/>
      <c r="F25" s="119"/>
      <c r="G25" s="25">
        <f>SUM(G24:G24)</f>
        <v>0</v>
      </c>
    </row>
    <row r="26" spans="1:7">
      <c r="A26" s="15">
        <v>5</v>
      </c>
      <c r="B26" s="16"/>
      <c r="C26" s="112" t="s">
        <v>118</v>
      </c>
      <c r="D26" s="113"/>
      <c r="E26" s="113"/>
      <c r="F26" s="113"/>
      <c r="G26" s="114"/>
    </row>
    <row r="27" spans="1:7" ht="54.75" customHeight="1">
      <c r="A27" s="17" t="s">
        <v>86</v>
      </c>
      <c r="B27" s="96" t="s">
        <v>75</v>
      </c>
      <c r="C27" s="18" t="s">
        <v>183</v>
      </c>
      <c r="D27" s="19" t="s">
        <v>37</v>
      </c>
      <c r="E27" s="20">
        <v>84</v>
      </c>
      <c r="F27" s="21"/>
      <c r="G27" s="22">
        <f>ROUND(F27*E27,2)</f>
        <v>0</v>
      </c>
    </row>
    <row r="28" spans="1:7" ht="75" customHeight="1">
      <c r="A28" s="17" t="s">
        <v>89</v>
      </c>
      <c r="B28" s="96" t="s">
        <v>75</v>
      </c>
      <c r="C28" s="18" t="s">
        <v>184</v>
      </c>
      <c r="D28" s="19" t="s">
        <v>68</v>
      </c>
      <c r="E28" s="20">
        <v>21</v>
      </c>
      <c r="F28" s="21"/>
      <c r="G28" s="22">
        <f>ROUND(F28*E28,2)</f>
        <v>0</v>
      </c>
    </row>
    <row r="29" spans="1:7" ht="50.25" customHeight="1">
      <c r="A29" s="17" t="s">
        <v>77</v>
      </c>
      <c r="B29" s="96" t="s">
        <v>75</v>
      </c>
      <c r="C29" s="18" t="s">
        <v>185</v>
      </c>
      <c r="D29" s="19" t="s">
        <v>10</v>
      </c>
      <c r="E29" s="20">
        <v>235</v>
      </c>
      <c r="F29" s="21"/>
      <c r="G29" s="22">
        <f>ROUND(F29*E29,2)</f>
        <v>0</v>
      </c>
    </row>
    <row r="30" spans="1:7" ht="20.25" customHeight="1">
      <c r="A30" s="117" t="s">
        <v>120</v>
      </c>
      <c r="B30" s="118"/>
      <c r="C30" s="118"/>
      <c r="D30" s="118"/>
      <c r="E30" s="118"/>
      <c r="F30" s="119"/>
      <c r="G30" s="25">
        <f>SUM(G27:G29)</f>
        <v>0</v>
      </c>
    </row>
    <row r="31" spans="1:7">
      <c r="A31" s="15">
        <v>6</v>
      </c>
      <c r="B31" s="16"/>
      <c r="C31" s="112" t="s">
        <v>17</v>
      </c>
      <c r="D31" s="113"/>
      <c r="E31" s="113"/>
      <c r="F31" s="113"/>
      <c r="G31" s="114"/>
    </row>
    <row r="32" spans="1:7" ht="50.25" customHeight="1">
      <c r="A32" s="17" t="s">
        <v>373</v>
      </c>
      <c r="B32" s="18" t="s">
        <v>52</v>
      </c>
      <c r="C32" s="18" t="s">
        <v>331</v>
      </c>
      <c r="D32" s="19" t="s">
        <v>37</v>
      </c>
      <c r="E32" s="20">
        <v>994</v>
      </c>
      <c r="F32" s="21"/>
      <c r="G32" s="22">
        <f>ROUND(F32*E32,2)</f>
        <v>0</v>
      </c>
    </row>
    <row r="33" spans="1:10" ht="50.25" customHeight="1">
      <c r="A33" s="17" t="s">
        <v>374</v>
      </c>
      <c r="B33" s="18" t="s">
        <v>52</v>
      </c>
      <c r="C33" s="18" t="s">
        <v>178</v>
      </c>
      <c r="D33" s="19" t="s">
        <v>37</v>
      </c>
      <c r="E33" s="20">
        <v>1818</v>
      </c>
      <c r="F33" s="21"/>
      <c r="G33" s="22">
        <f>ROUND(F33*E33,2)</f>
        <v>0</v>
      </c>
    </row>
    <row r="34" spans="1:10" ht="36.75" customHeight="1">
      <c r="A34" s="17" t="s">
        <v>114</v>
      </c>
      <c r="B34" s="18" t="s">
        <v>18</v>
      </c>
      <c r="C34" s="18" t="s">
        <v>179</v>
      </c>
      <c r="D34" s="19" t="s">
        <v>10</v>
      </c>
      <c r="E34" s="20">
        <v>1364</v>
      </c>
      <c r="F34" s="21"/>
      <c r="G34" s="22">
        <f>ROUND(F34*E34,2)</f>
        <v>0</v>
      </c>
    </row>
    <row r="35" spans="1:10" ht="33" customHeight="1">
      <c r="A35" s="17" t="s">
        <v>117</v>
      </c>
      <c r="B35" s="96" t="s">
        <v>75</v>
      </c>
      <c r="C35" s="18" t="s">
        <v>181</v>
      </c>
      <c r="D35" s="19" t="s">
        <v>37</v>
      </c>
      <c r="E35" s="20">
        <v>74</v>
      </c>
      <c r="F35" s="21"/>
      <c r="G35" s="22">
        <f t="shared" ref="G35:G36" si="1">ROUND(F35*E35,2)</f>
        <v>0</v>
      </c>
    </row>
    <row r="36" spans="1:10" ht="33" customHeight="1">
      <c r="A36" s="17" t="s">
        <v>121</v>
      </c>
      <c r="B36" s="96" t="s">
        <v>75</v>
      </c>
      <c r="C36" s="18" t="s">
        <v>180</v>
      </c>
      <c r="D36" s="19" t="s">
        <v>37</v>
      </c>
      <c r="E36" s="20">
        <v>90</v>
      </c>
      <c r="F36" s="21"/>
      <c r="G36" s="22">
        <f t="shared" si="1"/>
        <v>0</v>
      </c>
    </row>
    <row r="37" spans="1:10" ht="36.75" customHeight="1">
      <c r="A37" s="17" t="s">
        <v>371</v>
      </c>
      <c r="B37" s="18" t="s">
        <v>66</v>
      </c>
      <c r="C37" s="18" t="s">
        <v>67</v>
      </c>
      <c r="D37" s="19" t="s">
        <v>68</v>
      </c>
      <c r="E37" s="20">
        <v>2</v>
      </c>
      <c r="F37" s="21"/>
      <c r="G37" s="22">
        <f>ROUND(F37*E37,2)</f>
        <v>0</v>
      </c>
    </row>
    <row r="38" spans="1:10" ht="36.75" customHeight="1">
      <c r="A38" s="17" t="s">
        <v>372</v>
      </c>
      <c r="B38" s="18" t="s">
        <v>70</v>
      </c>
      <c r="C38" s="18" t="s">
        <v>97</v>
      </c>
      <c r="D38" s="19" t="s">
        <v>68</v>
      </c>
      <c r="E38" s="20">
        <v>2</v>
      </c>
      <c r="F38" s="21"/>
      <c r="G38" s="22">
        <f>ROUND(F38*E38,2)</f>
        <v>0</v>
      </c>
    </row>
    <row r="39" spans="1:10" ht="17.25" thickBot="1">
      <c r="A39" s="117" t="s">
        <v>19</v>
      </c>
      <c r="B39" s="118"/>
      <c r="C39" s="118"/>
      <c r="D39" s="118"/>
      <c r="E39" s="118"/>
      <c r="F39" s="119"/>
      <c r="G39" s="25">
        <f>SUM(G32:G38)</f>
        <v>0</v>
      </c>
    </row>
    <row r="40" spans="1:10" s="26" customFormat="1" ht="34.5" customHeight="1" thickTop="1">
      <c r="A40" s="120" t="s">
        <v>20</v>
      </c>
      <c r="B40" s="121"/>
      <c r="C40" s="121"/>
      <c r="D40" s="121"/>
      <c r="E40" s="121"/>
      <c r="F40" s="122">
        <f>+G39+G30+G25+G22+G18+G12</f>
        <v>0</v>
      </c>
      <c r="G40" s="123"/>
      <c r="H40" s="1"/>
    </row>
    <row r="41" spans="1:10">
      <c r="A41" s="124" t="s">
        <v>21</v>
      </c>
      <c r="B41" s="125"/>
      <c r="C41" s="125"/>
      <c r="D41" s="125"/>
      <c r="E41" s="126"/>
      <c r="F41" s="127">
        <f>ROUND(F40*0.23,2)</f>
        <v>0</v>
      </c>
      <c r="G41" s="128"/>
    </row>
    <row r="42" spans="1:10" ht="42" customHeight="1" thickBot="1">
      <c r="A42" s="107" t="s">
        <v>404</v>
      </c>
      <c r="B42" s="108"/>
      <c r="C42" s="108"/>
      <c r="D42" s="108"/>
      <c r="E42" s="108"/>
      <c r="F42" s="109">
        <f>+F41+F40</f>
        <v>0</v>
      </c>
      <c r="G42" s="110"/>
    </row>
    <row r="43" spans="1:10" ht="17.25" thickTop="1"/>
    <row r="44" spans="1:10">
      <c r="C44" s="1"/>
      <c r="G44" s="1">
        <f>+F42</f>
        <v>0</v>
      </c>
    </row>
    <row r="45" spans="1:10" s="1" customFormat="1">
      <c r="A45" s="3"/>
      <c r="B45" s="3"/>
      <c r="C45" s="3"/>
      <c r="D45" s="27"/>
      <c r="E45" s="111">
        <f>+G44/E7</f>
        <v>0</v>
      </c>
      <c r="F45" s="111"/>
      <c r="G45" s="1" t="s">
        <v>98</v>
      </c>
      <c r="I45" s="3"/>
      <c r="J45" s="3"/>
    </row>
  </sheetData>
  <mergeCells count="22">
    <mergeCell ref="E45:F45"/>
    <mergeCell ref="A22:F22"/>
    <mergeCell ref="A41:E41"/>
    <mergeCell ref="F41:G41"/>
    <mergeCell ref="A42:E42"/>
    <mergeCell ref="F42:G42"/>
    <mergeCell ref="C31:G31"/>
    <mergeCell ref="A39:F39"/>
    <mergeCell ref="A40:E40"/>
    <mergeCell ref="F40:G40"/>
    <mergeCell ref="A1:G1"/>
    <mergeCell ref="A2:G2"/>
    <mergeCell ref="A3:G3"/>
    <mergeCell ref="C6:G6"/>
    <mergeCell ref="A12:F12"/>
    <mergeCell ref="C13:G13"/>
    <mergeCell ref="C23:G23"/>
    <mergeCell ref="A25:F25"/>
    <mergeCell ref="C26:G26"/>
    <mergeCell ref="A30:F30"/>
    <mergeCell ref="A18:F18"/>
    <mergeCell ref="C19:G19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showGridLines="0" zoomScale="115" zoomScaleNormal="115" workbookViewId="0">
      <selection activeCell="K8" sqref="K8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8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8" ht="34.5" customHeight="1">
      <c r="A2" s="133" t="s">
        <v>361</v>
      </c>
      <c r="B2" s="133"/>
      <c r="C2" s="133"/>
      <c r="D2" s="133"/>
      <c r="E2" s="133"/>
      <c r="F2" s="133"/>
      <c r="G2" s="133"/>
    </row>
    <row r="3" spans="1:8" ht="15.75" customHeight="1" thickBot="1">
      <c r="A3" s="134"/>
      <c r="B3" s="134"/>
      <c r="C3" s="134"/>
      <c r="D3" s="134"/>
      <c r="E3" s="134"/>
      <c r="F3" s="134"/>
      <c r="G3" s="134"/>
    </row>
    <row r="4" spans="1:8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8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8">
      <c r="A6" s="15">
        <v>1</v>
      </c>
      <c r="B6" s="16"/>
      <c r="C6" s="112" t="s">
        <v>125</v>
      </c>
      <c r="D6" s="113"/>
      <c r="E6" s="113"/>
      <c r="F6" s="113"/>
      <c r="G6" s="114"/>
    </row>
    <row r="7" spans="1:8" ht="33">
      <c r="A7" s="17" t="s">
        <v>7</v>
      </c>
      <c r="B7" s="18" t="s">
        <v>9</v>
      </c>
      <c r="C7" s="18" t="s">
        <v>92</v>
      </c>
      <c r="D7" s="19" t="s">
        <v>93</v>
      </c>
      <c r="E7" s="20">
        <v>1.1200000000000001</v>
      </c>
      <c r="F7" s="21"/>
      <c r="G7" s="22">
        <f t="shared" ref="G7:G10" si="0">ROUND(F7*E7,2)</f>
        <v>0</v>
      </c>
    </row>
    <row r="8" spans="1:8" ht="49.5">
      <c r="A8" s="17" t="s">
        <v>8</v>
      </c>
      <c r="B8" s="18" t="s">
        <v>9</v>
      </c>
      <c r="C8" s="18" t="s">
        <v>187</v>
      </c>
      <c r="D8" s="19" t="s">
        <v>10</v>
      </c>
      <c r="E8" s="20">
        <f>2725+2249*1.5</f>
        <v>6098.5</v>
      </c>
      <c r="F8" s="21"/>
      <c r="G8" s="22">
        <f t="shared" si="0"/>
        <v>0</v>
      </c>
    </row>
    <row r="9" spans="1:8" ht="80.25" customHeight="1">
      <c r="A9" s="17" t="s">
        <v>38</v>
      </c>
      <c r="B9" s="18" t="s">
        <v>58</v>
      </c>
      <c r="C9" s="18" t="s">
        <v>188</v>
      </c>
      <c r="D9" s="19" t="s">
        <v>11</v>
      </c>
      <c r="E9" s="20">
        <f>545+22</f>
        <v>567</v>
      </c>
      <c r="F9" s="21"/>
      <c r="G9" s="22">
        <f t="shared" si="0"/>
        <v>0</v>
      </c>
    </row>
    <row r="10" spans="1:8" ht="33">
      <c r="A10" s="17" t="s">
        <v>59</v>
      </c>
      <c r="B10" s="18" t="s">
        <v>75</v>
      </c>
      <c r="C10" s="18" t="s">
        <v>189</v>
      </c>
      <c r="D10" s="19" t="s">
        <v>11</v>
      </c>
      <c r="E10" s="20">
        <v>880</v>
      </c>
      <c r="F10" s="21"/>
      <c r="G10" s="22">
        <f t="shared" si="0"/>
        <v>0</v>
      </c>
    </row>
    <row r="11" spans="1:8">
      <c r="A11" s="115" t="s">
        <v>126</v>
      </c>
      <c r="B11" s="113"/>
      <c r="C11" s="113"/>
      <c r="D11" s="113"/>
      <c r="E11" s="113"/>
      <c r="F11" s="116"/>
      <c r="G11" s="23">
        <f>SUM(G7:G10)</f>
        <v>0</v>
      </c>
    </row>
    <row r="12" spans="1:8">
      <c r="A12" s="15">
        <v>2</v>
      </c>
      <c r="B12" s="16"/>
      <c r="C12" s="112" t="s">
        <v>23</v>
      </c>
      <c r="D12" s="113"/>
      <c r="E12" s="113"/>
      <c r="F12" s="113"/>
      <c r="G12" s="114"/>
    </row>
    <row r="13" spans="1:8" ht="33" customHeight="1">
      <c r="A13" s="17" t="s">
        <v>53</v>
      </c>
      <c r="B13" s="18" t="s">
        <v>75</v>
      </c>
      <c r="C13" s="18" t="s">
        <v>439</v>
      </c>
      <c r="D13" s="19" t="s">
        <v>37</v>
      </c>
      <c r="E13" s="20">
        <v>11</v>
      </c>
      <c r="F13" s="21"/>
      <c r="G13" s="22">
        <f>ROUND(F13*E13,2)</f>
        <v>0</v>
      </c>
    </row>
    <row r="14" spans="1:8" ht="33" customHeight="1">
      <c r="A14" s="17" t="s">
        <v>56</v>
      </c>
      <c r="B14" s="18" t="s">
        <v>75</v>
      </c>
      <c r="C14" s="18" t="s">
        <v>172</v>
      </c>
      <c r="D14" s="19" t="s">
        <v>37</v>
      </c>
      <c r="E14" s="20">
        <v>20</v>
      </c>
      <c r="F14" s="21"/>
      <c r="G14" s="22">
        <f>ROUND(F14*E14,2)</f>
        <v>0</v>
      </c>
    </row>
    <row r="15" spans="1:8" s="92" customFormat="1" ht="66" customHeight="1">
      <c r="A15" s="17" t="s">
        <v>60</v>
      </c>
      <c r="B15" s="96" t="s">
        <v>75</v>
      </c>
      <c r="C15" s="96" t="s">
        <v>173</v>
      </c>
      <c r="D15" s="97" t="s">
        <v>68</v>
      </c>
      <c r="E15" s="98">
        <v>6</v>
      </c>
      <c r="F15" s="99"/>
      <c r="G15" s="100">
        <f>ROUND(F15*E15,2)</f>
        <v>0</v>
      </c>
      <c r="H15" s="91"/>
    </row>
    <row r="16" spans="1:8" ht="33" customHeight="1">
      <c r="A16" s="17" t="s">
        <v>61</v>
      </c>
      <c r="B16" s="24" t="s">
        <v>85</v>
      </c>
      <c r="C16" s="18" t="s">
        <v>193</v>
      </c>
      <c r="D16" s="19" t="s">
        <v>11</v>
      </c>
      <c r="E16" s="20">
        <v>8</v>
      </c>
      <c r="F16" s="21"/>
      <c r="G16" s="22">
        <f>ROUND(F16*E16,2)</f>
        <v>0</v>
      </c>
    </row>
    <row r="17" spans="1:10" s="1" customFormat="1" ht="32.25" customHeight="1">
      <c r="A17" s="17" t="s">
        <v>62</v>
      </c>
      <c r="B17" s="18" t="s">
        <v>72</v>
      </c>
      <c r="C17" s="18" t="s">
        <v>194</v>
      </c>
      <c r="D17" s="19" t="s">
        <v>11</v>
      </c>
      <c r="E17" s="20">
        <v>93</v>
      </c>
      <c r="F17" s="21"/>
      <c r="G17" s="22">
        <f>ROUND(F17*E17,2)</f>
        <v>0</v>
      </c>
      <c r="I17" s="3"/>
      <c r="J17" s="3"/>
    </row>
    <row r="18" spans="1:10" s="1" customFormat="1">
      <c r="A18" s="115" t="s">
        <v>22</v>
      </c>
      <c r="B18" s="113"/>
      <c r="C18" s="113"/>
      <c r="D18" s="113"/>
      <c r="E18" s="113"/>
      <c r="F18" s="116"/>
      <c r="G18" s="23">
        <f>SUM(G13:G17)</f>
        <v>0</v>
      </c>
      <c r="I18" s="3"/>
      <c r="J18" s="3"/>
    </row>
    <row r="19" spans="1:10">
      <c r="A19" s="15">
        <v>3</v>
      </c>
      <c r="B19" s="16"/>
      <c r="C19" s="112" t="s">
        <v>26</v>
      </c>
      <c r="D19" s="113"/>
      <c r="E19" s="113"/>
      <c r="F19" s="113"/>
      <c r="G19" s="114"/>
    </row>
    <row r="20" spans="1:10" ht="48" customHeight="1">
      <c r="A20" s="17" t="s">
        <v>63</v>
      </c>
      <c r="B20" s="18" t="s">
        <v>75</v>
      </c>
      <c r="C20" s="18" t="s">
        <v>190</v>
      </c>
      <c r="D20" s="19" t="s">
        <v>10</v>
      </c>
      <c r="E20" s="20">
        <v>2835</v>
      </c>
      <c r="F20" s="21"/>
      <c r="G20" s="22">
        <f t="shared" ref="G20" si="1">ROUND(F20*E20,2)</f>
        <v>0</v>
      </c>
    </row>
    <row r="21" spans="1:10" ht="50.25" customHeight="1">
      <c r="A21" s="17" t="s">
        <v>64</v>
      </c>
      <c r="B21" s="24" t="s">
        <v>52</v>
      </c>
      <c r="C21" s="18" t="s">
        <v>191</v>
      </c>
      <c r="D21" s="19" t="s">
        <v>10</v>
      </c>
      <c r="E21" s="20">
        <v>2835</v>
      </c>
      <c r="F21" s="21"/>
      <c r="G21" s="22">
        <f>ROUND(F21*E21,2)</f>
        <v>0</v>
      </c>
    </row>
    <row r="22" spans="1:10" ht="54" customHeight="1">
      <c r="A22" s="17" t="s">
        <v>73</v>
      </c>
      <c r="B22" s="24" t="s">
        <v>76</v>
      </c>
      <c r="C22" s="18" t="s">
        <v>192</v>
      </c>
      <c r="D22" s="19" t="s">
        <v>10</v>
      </c>
      <c r="E22" s="20">
        <v>2835</v>
      </c>
      <c r="F22" s="21"/>
      <c r="G22" s="22">
        <f>ROUND(F22*E22,2)</f>
        <v>0</v>
      </c>
    </row>
    <row r="23" spans="1:10">
      <c r="A23" s="115" t="s">
        <v>84</v>
      </c>
      <c r="B23" s="113"/>
      <c r="C23" s="113"/>
      <c r="D23" s="113"/>
      <c r="E23" s="113"/>
      <c r="F23" s="116"/>
      <c r="G23" s="23">
        <f>SUM(G20:G22)</f>
        <v>0</v>
      </c>
    </row>
    <row r="24" spans="1:10" s="1" customFormat="1">
      <c r="A24" s="15">
        <v>4</v>
      </c>
      <c r="B24" s="16"/>
      <c r="C24" s="112" t="s">
        <v>12</v>
      </c>
      <c r="D24" s="113"/>
      <c r="E24" s="113"/>
      <c r="F24" s="113"/>
      <c r="G24" s="114"/>
      <c r="I24" s="3"/>
      <c r="J24" s="3"/>
    </row>
    <row r="25" spans="1:10" s="1" customFormat="1" ht="36.75" customHeight="1">
      <c r="A25" s="17" t="s">
        <v>69</v>
      </c>
      <c r="B25" s="18" t="s">
        <v>81</v>
      </c>
      <c r="C25" s="18" t="s">
        <v>195</v>
      </c>
      <c r="D25" s="19" t="s">
        <v>14</v>
      </c>
      <c r="E25" s="20">
        <v>133.19999999999999</v>
      </c>
      <c r="F25" s="21"/>
      <c r="G25" s="22">
        <f>ROUND(F25*E25,2)</f>
        <v>0</v>
      </c>
      <c r="I25" s="3"/>
      <c r="J25" s="3"/>
    </row>
    <row r="26" spans="1:10" ht="49.5">
      <c r="A26" s="17" t="s">
        <v>71</v>
      </c>
      <c r="B26" s="18" t="s">
        <v>15</v>
      </c>
      <c r="C26" s="18" t="s">
        <v>196</v>
      </c>
      <c r="D26" s="19" t="s">
        <v>10</v>
      </c>
      <c r="E26" s="20">
        <v>1605</v>
      </c>
      <c r="F26" s="21"/>
      <c r="G26" s="22">
        <f>ROUND(F26*E26,2)</f>
        <v>0</v>
      </c>
    </row>
    <row r="27" spans="1:10" s="1" customFormat="1" ht="49.5">
      <c r="A27" s="17" t="s">
        <v>74</v>
      </c>
      <c r="B27" s="18" t="s">
        <v>50</v>
      </c>
      <c r="C27" s="18" t="s">
        <v>197</v>
      </c>
      <c r="D27" s="19" t="s">
        <v>10</v>
      </c>
      <c r="E27" s="20">
        <v>4165</v>
      </c>
      <c r="F27" s="21"/>
      <c r="G27" s="22">
        <f>ROUND(F27*E27,2)</f>
        <v>0</v>
      </c>
      <c r="I27" s="3"/>
      <c r="J27" s="3"/>
    </row>
    <row r="28" spans="1:10" s="1" customFormat="1">
      <c r="A28" s="115" t="s">
        <v>16</v>
      </c>
      <c r="B28" s="113"/>
      <c r="C28" s="113"/>
      <c r="D28" s="113"/>
      <c r="E28" s="113"/>
      <c r="F28" s="116"/>
      <c r="G28" s="23">
        <f>SUM(G25:G27)</f>
        <v>0</v>
      </c>
      <c r="I28" s="3"/>
      <c r="J28" s="3"/>
    </row>
    <row r="29" spans="1:10" s="1" customFormat="1">
      <c r="A29" s="15">
        <v>5</v>
      </c>
      <c r="B29" s="16"/>
      <c r="C29" s="112" t="s">
        <v>112</v>
      </c>
      <c r="D29" s="113"/>
      <c r="E29" s="113"/>
      <c r="F29" s="113"/>
      <c r="G29" s="114"/>
      <c r="I29" s="3"/>
      <c r="J29" s="3"/>
    </row>
    <row r="30" spans="1:10" s="1" customFormat="1" ht="50.25" customHeight="1">
      <c r="A30" s="17" t="s">
        <v>78</v>
      </c>
      <c r="B30" s="96" t="s">
        <v>75</v>
      </c>
      <c r="C30" s="18" t="s">
        <v>198</v>
      </c>
      <c r="D30" s="19" t="s">
        <v>37</v>
      </c>
      <c r="E30" s="20">
        <v>800</v>
      </c>
      <c r="F30" s="21"/>
      <c r="G30" s="22">
        <f>ROUND(F30*E30,2)</f>
        <v>0</v>
      </c>
      <c r="I30" s="3"/>
      <c r="J30" s="3"/>
    </row>
    <row r="31" spans="1:10" s="1" customFormat="1" ht="20.25" customHeight="1">
      <c r="A31" s="117" t="s">
        <v>119</v>
      </c>
      <c r="B31" s="118"/>
      <c r="C31" s="118"/>
      <c r="D31" s="118"/>
      <c r="E31" s="118"/>
      <c r="F31" s="119"/>
      <c r="G31" s="25">
        <f>SUM(G30:G30)</f>
        <v>0</v>
      </c>
      <c r="I31" s="3"/>
      <c r="J31" s="3"/>
    </row>
    <row r="32" spans="1:10" s="1" customFormat="1">
      <c r="A32" s="15">
        <v>6</v>
      </c>
      <c r="B32" s="16"/>
      <c r="C32" s="112" t="s">
        <v>118</v>
      </c>
      <c r="D32" s="113"/>
      <c r="E32" s="113"/>
      <c r="F32" s="113"/>
      <c r="G32" s="114"/>
      <c r="I32" s="3"/>
      <c r="J32" s="3"/>
    </row>
    <row r="33" spans="1:10" s="1" customFormat="1" ht="54.75" customHeight="1">
      <c r="A33" s="17" t="s">
        <v>374</v>
      </c>
      <c r="B33" s="96" t="s">
        <v>75</v>
      </c>
      <c r="C33" s="18" t="s">
        <v>199</v>
      </c>
      <c r="D33" s="19" t="s">
        <v>37</v>
      </c>
      <c r="E33" s="20">
        <v>42</v>
      </c>
      <c r="F33" s="21"/>
      <c r="G33" s="22">
        <f>ROUND(F33*E33,2)</f>
        <v>0</v>
      </c>
      <c r="I33" s="3"/>
      <c r="J33" s="3"/>
    </row>
    <row r="34" spans="1:10" s="1" customFormat="1" ht="75" customHeight="1">
      <c r="A34" s="17" t="s">
        <v>114</v>
      </c>
      <c r="B34" s="96" t="s">
        <v>75</v>
      </c>
      <c r="C34" s="18" t="s">
        <v>184</v>
      </c>
      <c r="D34" s="19" t="s">
        <v>68</v>
      </c>
      <c r="E34" s="20">
        <v>16</v>
      </c>
      <c r="F34" s="21"/>
      <c r="G34" s="22">
        <f>ROUND(F34*E34,2)</f>
        <v>0</v>
      </c>
      <c r="I34" s="3"/>
      <c r="J34" s="3"/>
    </row>
    <row r="35" spans="1:10" s="1" customFormat="1" ht="50.25" customHeight="1">
      <c r="A35" s="17" t="s">
        <v>117</v>
      </c>
      <c r="B35" s="96" t="s">
        <v>75</v>
      </c>
      <c r="C35" s="18" t="s">
        <v>200</v>
      </c>
      <c r="D35" s="19" t="s">
        <v>10</v>
      </c>
      <c r="E35" s="20">
        <v>20</v>
      </c>
      <c r="F35" s="21"/>
      <c r="G35" s="22">
        <f>ROUND(F35*E35,2)</f>
        <v>0</v>
      </c>
      <c r="I35" s="3"/>
      <c r="J35" s="3"/>
    </row>
    <row r="36" spans="1:10" s="1" customFormat="1" ht="20.25" customHeight="1">
      <c r="A36" s="117" t="s">
        <v>120</v>
      </c>
      <c r="B36" s="118"/>
      <c r="C36" s="118"/>
      <c r="D36" s="118"/>
      <c r="E36" s="118"/>
      <c r="F36" s="119"/>
      <c r="G36" s="25">
        <f>SUM(G33:G35)</f>
        <v>0</v>
      </c>
      <c r="I36" s="3"/>
      <c r="J36" s="3"/>
    </row>
    <row r="37" spans="1:10" s="1" customFormat="1">
      <c r="A37" s="15">
        <v>7</v>
      </c>
      <c r="B37" s="16"/>
      <c r="C37" s="112" t="s">
        <v>17</v>
      </c>
      <c r="D37" s="113"/>
      <c r="E37" s="113"/>
      <c r="F37" s="113"/>
      <c r="G37" s="114"/>
      <c r="I37" s="3"/>
      <c r="J37" s="3"/>
    </row>
    <row r="38" spans="1:10" s="1" customFormat="1" ht="50.25" customHeight="1">
      <c r="A38" s="17" t="s">
        <v>368</v>
      </c>
      <c r="B38" s="18" t="s">
        <v>52</v>
      </c>
      <c r="C38" s="18" t="s">
        <v>332</v>
      </c>
      <c r="D38" s="19" t="s">
        <v>37</v>
      </c>
      <c r="E38" s="20">
        <v>1103</v>
      </c>
      <c r="F38" s="21"/>
      <c r="G38" s="22">
        <f>ROUND(F38*E38,2)</f>
        <v>0</v>
      </c>
      <c r="I38" s="3"/>
      <c r="J38" s="3"/>
    </row>
    <row r="39" spans="1:10" s="1" customFormat="1" ht="50.25" customHeight="1">
      <c r="A39" s="17" t="s">
        <v>369</v>
      </c>
      <c r="B39" s="18" t="s">
        <v>52</v>
      </c>
      <c r="C39" s="18" t="s">
        <v>201</v>
      </c>
      <c r="D39" s="19" t="s">
        <v>37</v>
      </c>
      <c r="E39" s="20">
        <v>2249</v>
      </c>
      <c r="F39" s="21"/>
      <c r="G39" s="22">
        <f>ROUND(F39*E39,2)</f>
        <v>0</v>
      </c>
      <c r="I39" s="3"/>
      <c r="J39" s="3"/>
    </row>
    <row r="40" spans="1:10" ht="36.75" customHeight="1">
      <c r="A40" s="17" t="s">
        <v>375</v>
      </c>
      <c r="B40" s="18" t="s">
        <v>18</v>
      </c>
      <c r="C40" s="18" t="s">
        <v>202</v>
      </c>
      <c r="D40" s="19" t="s">
        <v>10</v>
      </c>
      <c r="E40" s="20">
        <v>1687</v>
      </c>
      <c r="F40" s="21"/>
      <c r="G40" s="22">
        <f>ROUND(F40*E40,2)</f>
        <v>0</v>
      </c>
    </row>
    <row r="41" spans="1:10" ht="33" customHeight="1">
      <c r="A41" s="17" t="s">
        <v>376</v>
      </c>
      <c r="B41" s="96" t="s">
        <v>75</v>
      </c>
      <c r="C41" s="18" t="s">
        <v>203</v>
      </c>
      <c r="D41" s="19" t="s">
        <v>37</v>
      </c>
      <c r="E41" s="20">
        <v>4</v>
      </c>
      <c r="F41" s="21"/>
      <c r="G41" s="22">
        <f t="shared" ref="G41:G42" si="2">ROUND(F41*E41,2)</f>
        <v>0</v>
      </c>
    </row>
    <row r="42" spans="1:10" ht="33" customHeight="1">
      <c r="A42" s="17" t="s">
        <v>377</v>
      </c>
      <c r="B42" s="96" t="s">
        <v>75</v>
      </c>
      <c r="C42" s="18" t="s">
        <v>204</v>
      </c>
      <c r="D42" s="19" t="s">
        <v>37</v>
      </c>
      <c r="E42" s="20">
        <v>200</v>
      </c>
      <c r="F42" s="21"/>
      <c r="G42" s="22">
        <f t="shared" si="2"/>
        <v>0</v>
      </c>
    </row>
    <row r="43" spans="1:10" ht="36.75" customHeight="1">
      <c r="A43" s="17" t="s">
        <v>378</v>
      </c>
      <c r="B43" s="18" t="s">
        <v>66</v>
      </c>
      <c r="C43" s="18" t="s">
        <v>67</v>
      </c>
      <c r="D43" s="19" t="s">
        <v>68</v>
      </c>
      <c r="E43" s="20">
        <v>2</v>
      </c>
      <c r="F43" s="21"/>
      <c r="G43" s="22">
        <f>ROUND(F43*E43,2)</f>
        <v>0</v>
      </c>
    </row>
    <row r="44" spans="1:10" ht="36.75" customHeight="1">
      <c r="A44" s="17" t="s">
        <v>379</v>
      </c>
      <c r="B44" s="18" t="s">
        <v>70</v>
      </c>
      <c r="C44" s="18" t="s">
        <v>97</v>
      </c>
      <c r="D44" s="19" t="s">
        <v>68</v>
      </c>
      <c r="E44" s="20">
        <v>2</v>
      </c>
      <c r="F44" s="21"/>
      <c r="G44" s="22">
        <f>ROUND(F44*E44,2)</f>
        <v>0</v>
      </c>
    </row>
    <row r="45" spans="1:10" ht="17.25" thickBot="1">
      <c r="A45" s="117" t="s">
        <v>19</v>
      </c>
      <c r="B45" s="118"/>
      <c r="C45" s="118"/>
      <c r="D45" s="118"/>
      <c r="E45" s="118"/>
      <c r="F45" s="119"/>
      <c r="G45" s="25">
        <f>SUM(G38:G44)</f>
        <v>0</v>
      </c>
    </row>
    <row r="46" spans="1:10" s="26" customFormat="1" ht="34.5" customHeight="1" thickTop="1">
      <c r="A46" s="120" t="s">
        <v>20</v>
      </c>
      <c r="B46" s="121"/>
      <c r="C46" s="121"/>
      <c r="D46" s="121"/>
      <c r="E46" s="121"/>
      <c r="F46" s="122">
        <f>+G45+G36+G31+G28+G23+G18+G11</f>
        <v>0</v>
      </c>
      <c r="G46" s="123"/>
      <c r="H46" s="1"/>
    </row>
    <row r="47" spans="1:10">
      <c r="A47" s="124" t="s">
        <v>21</v>
      </c>
      <c r="B47" s="125"/>
      <c r="C47" s="125"/>
      <c r="D47" s="125"/>
      <c r="E47" s="126"/>
      <c r="F47" s="127">
        <f>ROUND(F46*0.23,2)</f>
        <v>0</v>
      </c>
      <c r="G47" s="128"/>
    </row>
    <row r="48" spans="1:10" ht="42" customHeight="1" thickBot="1">
      <c r="A48" s="107" t="s">
        <v>404</v>
      </c>
      <c r="B48" s="108"/>
      <c r="C48" s="108"/>
      <c r="D48" s="108"/>
      <c r="E48" s="108"/>
      <c r="F48" s="109">
        <f>+F47+F46</f>
        <v>0</v>
      </c>
      <c r="G48" s="110"/>
    </row>
    <row r="49" spans="1:10" ht="17.25" thickTop="1"/>
    <row r="50" spans="1:10">
      <c r="C50" s="1"/>
      <c r="G50" s="1">
        <f>+F48</f>
        <v>0</v>
      </c>
    </row>
    <row r="51" spans="1:10" s="1" customFormat="1">
      <c r="A51" s="3"/>
      <c r="B51" s="3"/>
      <c r="C51" s="3"/>
      <c r="D51" s="27"/>
      <c r="E51" s="111">
        <f>+G50/1.12</f>
        <v>0</v>
      </c>
      <c r="F51" s="111"/>
      <c r="G51" s="1" t="s">
        <v>98</v>
      </c>
      <c r="I51" s="3"/>
      <c r="J51" s="3"/>
    </row>
  </sheetData>
  <mergeCells count="24">
    <mergeCell ref="C29:G29"/>
    <mergeCell ref="A31:F31"/>
    <mergeCell ref="C32:G32"/>
    <mergeCell ref="A1:G1"/>
    <mergeCell ref="A2:G2"/>
    <mergeCell ref="A3:G3"/>
    <mergeCell ref="C19:G19"/>
    <mergeCell ref="A23:F23"/>
    <mergeCell ref="A48:E48"/>
    <mergeCell ref="F48:G48"/>
    <mergeCell ref="E51:F51"/>
    <mergeCell ref="C6:G6"/>
    <mergeCell ref="A11:F11"/>
    <mergeCell ref="C12:G12"/>
    <mergeCell ref="A18:F18"/>
    <mergeCell ref="A36:F36"/>
    <mergeCell ref="C37:G37"/>
    <mergeCell ref="A45:F45"/>
    <mergeCell ref="A46:E46"/>
    <mergeCell ref="F46:G46"/>
    <mergeCell ref="A47:E47"/>
    <mergeCell ref="F47:G47"/>
    <mergeCell ref="C24:G24"/>
    <mergeCell ref="A28:F28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showGridLines="0" zoomScale="115" zoomScaleNormal="115" workbookViewId="0">
      <selection activeCell="F36" sqref="F36:F40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10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10" ht="26.25" customHeight="1">
      <c r="A2" s="133" t="s">
        <v>360</v>
      </c>
      <c r="B2" s="133"/>
      <c r="C2" s="133"/>
      <c r="D2" s="133"/>
      <c r="E2" s="133"/>
      <c r="F2" s="133"/>
      <c r="G2" s="133"/>
    </row>
    <row r="3" spans="1:10" ht="15.75" customHeight="1" thickBot="1">
      <c r="A3" s="134"/>
      <c r="B3" s="134"/>
      <c r="C3" s="134"/>
      <c r="D3" s="134"/>
      <c r="E3" s="134"/>
      <c r="F3" s="134"/>
      <c r="G3" s="134"/>
    </row>
    <row r="4" spans="1:10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10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10">
      <c r="A6" s="15">
        <v>1</v>
      </c>
      <c r="B6" s="16"/>
      <c r="C6" s="112" t="s">
        <v>125</v>
      </c>
      <c r="D6" s="113"/>
      <c r="E6" s="113"/>
      <c r="F6" s="113"/>
      <c r="G6" s="114"/>
    </row>
    <row r="7" spans="1:10" ht="33">
      <c r="A7" s="17" t="s">
        <v>7</v>
      </c>
      <c r="B7" s="18" t="s">
        <v>9</v>
      </c>
      <c r="C7" s="18" t="s">
        <v>92</v>
      </c>
      <c r="D7" s="19" t="s">
        <v>93</v>
      </c>
      <c r="E7" s="20">
        <v>0.51</v>
      </c>
      <c r="F7" s="21"/>
      <c r="G7" s="22">
        <f t="shared" ref="G7:G10" si="0">ROUND(F7*E7,2)</f>
        <v>0</v>
      </c>
    </row>
    <row r="8" spans="1:10" ht="33">
      <c r="A8" s="17" t="s">
        <v>8</v>
      </c>
      <c r="B8" s="18" t="s">
        <v>9</v>
      </c>
      <c r="C8" s="18" t="s">
        <v>205</v>
      </c>
      <c r="D8" s="19" t="s">
        <v>10</v>
      </c>
      <c r="E8" s="20">
        <v>1503</v>
      </c>
      <c r="F8" s="21"/>
      <c r="G8" s="22">
        <f t="shared" si="0"/>
        <v>0</v>
      </c>
    </row>
    <row r="9" spans="1:10" ht="80.25" customHeight="1">
      <c r="A9" s="17" t="s">
        <v>38</v>
      </c>
      <c r="B9" s="18" t="s">
        <v>58</v>
      </c>
      <c r="C9" s="18" t="s">
        <v>206</v>
      </c>
      <c r="D9" s="19" t="s">
        <v>11</v>
      </c>
      <c r="E9" s="20">
        <f>220+44</f>
        <v>264</v>
      </c>
      <c r="F9" s="21"/>
      <c r="G9" s="22">
        <f t="shared" si="0"/>
        <v>0</v>
      </c>
    </row>
    <row r="10" spans="1:10" ht="33">
      <c r="A10" s="17" t="s">
        <v>59</v>
      </c>
      <c r="B10" s="18" t="s">
        <v>75</v>
      </c>
      <c r="C10" s="18" t="s">
        <v>207</v>
      </c>
      <c r="D10" s="19" t="s">
        <v>11</v>
      </c>
      <c r="E10" s="20">
        <v>876</v>
      </c>
      <c r="F10" s="21"/>
      <c r="G10" s="22">
        <f t="shared" si="0"/>
        <v>0</v>
      </c>
    </row>
    <row r="11" spans="1:10">
      <c r="A11" s="115" t="s">
        <v>126</v>
      </c>
      <c r="B11" s="113"/>
      <c r="C11" s="113"/>
      <c r="D11" s="113"/>
      <c r="E11" s="113"/>
      <c r="F11" s="116"/>
      <c r="G11" s="23">
        <f>SUM(G7:G10)</f>
        <v>0</v>
      </c>
    </row>
    <row r="12" spans="1:10">
      <c r="A12" s="15">
        <v>2</v>
      </c>
      <c r="B12" s="16"/>
      <c r="C12" s="112" t="s">
        <v>23</v>
      </c>
      <c r="D12" s="113"/>
      <c r="E12" s="113"/>
      <c r="F12" s="113"/>
      <c r="G12" s="114"/>
    </row>
    <row r="13" spans="1:10" ht="33" customHeight="1">
      <c r="A13" s="17" t="s">
        <v>53</v>
      </c>
      <c r="B13" s="18" t="s">
        <v>75</v>
      </c>
      <c r="C13" s="18" t="s">
        <v>407</v>
      </c>
      <c r="D13" s="19" t="s">
        <v>37</v>
      </c>
      <c r="E13" s="20">
        <v>11</v>
      </c>
      <c r="F13" s="21"/>
      <c r="G13" s="22">
        <f>ROUND(F13*E13,2)</f>
        <v>0</v>
      </c>
    </row>
    <row r="14" spans="1:10" s="92" customFormat="1" ht="66" customHeight="1">
      <c r="A14" s="95" t="s">
        <v>56</v>
      </c>
      <c r="B14" s="96" t="s">
        <v>75</v>
      </c>
      <c r="C14" s="96" t="s">
        <v>209</v>
      </c>
      <c r="D14" s="97" t="s">
        <v>68</v>
      </c>
      <c r="E14" s="98">
        <v>4</v>
      </c>
      <c r="F14" s="99"/>
      <c r="G14" s="100">
        <f>ROUND(F14*E14,2)</f>
        <v>0</v>
      </c>
      <c r="H14" s="91"/>
    </row>
    <row r="15" spans="1:10" ht="33" customHeight="1">
      <c r="A15" s="17" t="s">
        <v>60</v>
      </c>
      <c r="B15" s="24" t="s">
        <v>85</v>
      </c>
      <c r="C15" s="18" t="s">
        <v>24</v>
      </c>
      <c r="D15" s="19" t="s">
        <v>11</v>
      </c>
      <c r="E15" s="20">
        <v>4</v>
      </c>
      <c r="F15" s="21"/>
      <c r="G15" s="22">
        <f>ROUND(F15*E15,2)</f>
        <v>0</v>
      </c>
    </row>
    <row r="16" spans="1:10" s="1" customFormat="1" ht="32.25" customHeight="1">
      <c r="A16" s="95" t="s">
        <v>61</v>
      </c>
      <c r="B16" s="18" t="s">
        <v>72</v>
      </c>
      <c r="C16" s="18" t="s">
        <v>194</v>
      </c>
      <c r="D16" s="19" t="s">
        <v>11</v>
      </c>
      <c r="E16" s="20">
        <v>33</v>
      </c>
      <c r="F16" s="21"/>
      <c r="G16" s="22">
        <f>ROUND(F16*E16,2)</f>
        <v>0</v>
      </c>
      <c r="I16" s="3"/>
      <c r="J16" s="3"/>
    </row>
    <row r="17" spans="1:10" s="1" customFormat="1">
      <c r="A17" s="115" t="s">
        <v>22</v>
      </c>
      <c r="B17" s="113"/>
      <c r="C17" s="113"/>
      <c r="D17" s="113"/>
      <c r="E17" s="113"/>
      <c r="F17" s="116"/>
      <c r="G17" s="23">
        <f>SUM(G13:G16)</f>
        <v>0</v>
      </c>
      <c r="I17" s="3"/>
      <c r="J17" s="3"/>
    </row>
    <row r="18" spans="1:10">
      <c r="A18" s="15">
        <v>3</v>
      </c>
      <c r="B18" s="16"/>
      <c r="C18" s="112" t="s">
        <v>26</v>
      </c>
      <c r="D18" s="113"/>
      <c r="E18" s="113"/>
      <c r="F18" s="113"/>
      <c r="G18" s="114"/>
    </row>
    <row r="19" spans="1:10" ht="48" customHeight="1">
      <c r="A19" s="17" t="s">
        <v>80</v>
      </c>
      <c r="B19" s="18" t="s">
        <v>75</v>
      </c>
      <c r="C19" s="18" t="s">
        <v>210</v>
      </c>
      <c r="D19" s="19" t="s">
        <v>10</v>
      </c>
      <c r="E19" s="20">
        <v>1319.4</v>
      </c>
      <c r="F19" s="21"/>
      <c r="G19" s="22">
        <f t="shared" ref="G19" si="1">ROUND(F19*E19,2)</f>
        <v>0</v>
      </c>
    </row>
    <row r="20" spans="1:10" ht="50.25" customHeight="1">
      <c r="A20" s="17" t="s">
        <v>63</v>
      </c>
      <c r="B20" s="24" t="s">
        <v>52</v>
      </c>
      <c r="C20" s="18" t="s">
        <v>191</v>
      </c>
      <c r="D20" s="19" t="s">
        <v>10</v>
      </c>
      <c r="E20" s="20">
        <v>1319.4</v>
      </c>
      <c r="F20" s="21"/>
      <c r="G20" s="22">
        <f>ROUND(F20*E20,2)</f>
        <v>0</v>
      </c>
    </row>
    <row r="21" spans="1:10" ht="54" customHeight="1">
      <c r="A21" s="17" t="s">
        <v>64</v>
      </c>
      <c r="B21" s="24" t="s">
        <v>76</v>
      </c>
      <c r="C21" s="18" t="s">
        <v>192</v>
      </c>
      <c r="D21" s="19" t="s">
        <v>10</v>
      </c>
      <c r="E21" s="20">
        <v>1319.4</v>
      </c>
      <c r="F21" s="21"/>
      <c r="G21" s="22">
        <f>ROUND(F21*E21,2)</f>
        <v>0</v>
      </c>
    </row>
    <row r="22" spans="1:10">
      <c r="A22" s="115" t="s">
        <v>84</v>
      </c>
      <c r="B22" s="113"/>
      <c r="C22" s="113"/>
      <c r="D22" s="113"/>
      <c r="E22" s="113"/>
      <c r="F22" s="116"/>
      <c r="G22" s="23">
        <f>SUM(G19:G21)</f>
        <v>0</v>
      </c>
    </row>
    <row r="23" spans="1:10" s="1" customFormat="1">
      <c r="A23" s="15">
        <v>4</v>
      </c>
      <c r="B23" s="16"/>
      <c r="C23" s="112" t="s">
        <v>12</v>
      </c>
      <c r="D23" s="113"/>
      <c r="E23" s="113"/>
      <c r="F23" s="113"/>
      <c r="G23" s="114"/>
      <c r="I23" s="3"/>
      <c r="J23" s="3"/>
    </row>
    <row r="24" spans="1:10" s="1" customFormat="1" ht="36.75" customHeight="1">
      <c r="A24" s="17" t="s">
        <v>65</v>
      </c>
      <c r="B24" s="18" t="s">
        <v>81</v>
      </c>
      <c r="C24" s="18" t="s">
        <v>211</v>
      </c>
      <c r="D24" s="19" t="s">
        <v>14</v>
      </c>
      <c r="E24" s="20">
        <v>133.5</v>
      </c>
      <c r="F24" s="21"/>
      <c r="G24" s="22">
        <f>ROUND(F24*E24,2)</f>
        <v>0</v>
      </c>
      <c r="I24" s="3"/>
      <c r="J24" s="3"/>
    </row>
    <row r="25" spans="1:10" ht="66">
      <c r="A25" s="17" t="s">
        <v>69</v>
      </c>
      <c r="B25" s="18" t="s">
        <v>15</v>
      </c>
      <c r="C25" s="18" t="s">
        <v>212</v>
      </c>
      <c r="D25" s="19" t="s">
        <v>10</v>
      </c>
      <c r="E25" s="20">
        <v>1021.4</v>
      </c>
      <c r="F25" s="21"/>
      <c r="G25" s="22">
        <f>ROUND(F25*E25,2)</f>
        <v>0</v>
      </c>
    </row>
    <row r="26" spans="1:10" s="1" customFormat="1" ht="49.5">
      <c r="A26" s="17" t="s">
        <v>71</v>
      </c>
      <c r="B26" s="18" t="s">
        <v>50</v>
      </c>
      <c r="C26" s="18" t="s">
        <v>213</v>
      </c>
      <c r="D26" s="19" t="s">
        <v>10</v>
      </c>
      <c r="E26" s="20">
        <v>2759</v>
      </c>
      <c r="F26" s="21"/>
      <c r="G26" s="22">
        <f>ROUND(F26*E26,2)</f>
        <v>0</v>
      </c>
      <c r="I26" s="3"/>
      <c r="J26" s="3"/>
    </row>
    <row r="27" spans="1:10" s="1" customFormat="1">
      <c r="A27" s="115" t="s">
        <v>16</v>
      </c>
      <c r="B27" s="113"/>
      <c r="C27" s="113"/>
      <c r="D27" s="113"/>
      <c r="E27" s="113"/>
      <c r="F27" s="116"/>
      <c r="G27" s="23">
        <f>SUM(G24:G26)</f>
        <v>0</v>
      </c>
      <c r="I27" s="3"/>
      <c r="J27" s="3"/>
    </row>
    <row r="28" spans="1:10" s="1" customFormat="1">
      <c r="A28" s="15">
        <v>5</v>
      </c>
      <c r="B28" s="16"/>
      <c r="C28" s="112" t="s">
        <v>112</v>
      </c>
      <c r="D28" s="113"/>
      <c r="E28" s="113"/>
      <c r="F28" s="113"/>
      <c r="G28" s="114"/>
      <c r="I28" s="3"/>
      <c r="J28" s="3"/>
    </row>
    <row r="29" spans="1:10" s="1" customFormat="1" ht="50.25" customHeight="1">
      <c r="A29" s="17" t="s">
        <v>77</v>
      </c>
      <c r="B29" s="96" t="s">
        <v>75</v>
      </c>
      <c r="C29" s="18" t="s">
        <v>214</v>
      </c>
      <c r="D29" s="19" t="s">
        <v>37</v>
      </c>
      <c r="E29" s="20">
        <v>960</v>
      </c>
      <c r="F29" s="21"/>
      <c r="G29" s="22">
        <f>ROUND(F29*E29,2)</f>
        <v>0</v>
      </c>
      <c r="I29" s="3"/>
      <c r="J29" s="3"/>
    </row>
    <row r="30" spans="1:10" s="1" customFormat="1" ht="20.25" customHeight="1">
      <c r="A30" s="117" t="s">
        <v>119</v>
      </c>
      <c r="B30" s="118"/>
      <c r="C30" s="118"/>
      <c r="D30" s="118"/>
      <c r="E30" s="118"/>
      <c r="F30" s="119"/>
      <c r="G30" s="25">
        <f>SUM(G29:G29)</f>
        <v>0</v>
      </c>
      <c r="I30" s="3"/>
      <c r="J30" s="3"/>
    </row>
    <row r="31" spans="1:10" s="1" customFormat="1">
      <c r="A31" s="15">
        <v>6</v>
      </c>
      <c r="B31" s="16"/>
      <c r="C31" s="112" t="s">
        <v>118</v>
      </c>
      <c r="D31" s="113"/>
      <c r="E31" s="113"/>
      <c r="F31" s="113"/>
      <c r="G31" s="114"/>
      <c r="I31" s="3"/>
      <c r="J31" s="3"/>
    </row>
    <row r="32" spans="1:10" s="1" customFormat="1" ht="54.75" customHeight="1">
      <c r="A32" s="17" t="s">
        <v>373</v>
      </c>
      <c r="B32" s="96" t="s">
        <v>75</v>
      </c>
      <c r="C32" s="18" t="s">
        <v>215</v>
      </c>
      <c r="D32" s="19" t="s">
        <v>37</v>
      </c>
      <c r="E32" s="20">
        <v>18</v>
      </c>
      <c r="F32" s="21"/>
      <c r="G32" s="22">
        <f>ROUND(F32*E32,2)</f>
        <v>0</v>
      </c>
      <c r="I32" s="3"/>
      <c r="J32" s="3"/>
    </row>
    <row r="33" spans="1:10" s="1" customFormat="1" ht="75" customHeight="1">
      <c r="A33" s="17" t="s">
        <v>374</v>
      </c>
      <c r="B33" s="96" t="s">
        <v>75</v>
      </c>
      <c r="C33" s="18" t="s">
        <v>216</v>
      </c>
      <c r="D33" s="19" t="s">
        <v>10</v>
      </c>
      <c r="E33" s="20">
        <v>40</v>
      </c>
      <c r="F33" s="21"/>
      <c r="G33" s="22">
        <f>ROUND(F33*E33,2)</f>
        <v>0</v>
      </c>
      <c r="I33" s="3"/>
      <c r="J33" s="3"/>
    </row>
    <row r="34" spans="1:10" s="1" customFormat="1" ht="20.25" customHeight="1">
      <c r="A34" s="117" t="s">
        <v>120</v>
      </c>
      <c r="B34" s="118"/>
      <c r="C34" s="118"/>
      <c r="D34" s="118"/>
      <c r="E34" s="118"/>
      <c r="F34" s="119"/>
      <c r="G34" s="25">
        <f>SUM(G32:G33)</f>
        <v>0</v>
      </c>
      <c r="I34" s="3"/>
      <c r="J34" s="3"/>
    </row>
    <row r="35" spans="1:10" s="1" customFormat="1">
      <c r="A35" s="15">
        <v>7</v>
      </c>
      <c r="B35" s="16"/>
      <c r="C35" s="112" t="s">
        <v>17</v>
      </c>
      <c r="D35" s="113"/>
      <c r="E35" s="113"/>
      <c r="F35" s="113"/>
      <c r="G35" s="114"/>
      <c r="I35" s="3"/>
      <c r="J35" s="3"/>
    </row>
    <row r="36" spans="1:10" s="1" customFormat="1" ht="50.25" customHeight="1">
      <c r="A36" s="17" t="s">
        <v>380</v>
      </c>
      <c r="B36" s="18" t="s">
        <v>52</v>
      </c>
      <c r="C36" s="18" t="s">
        <v>333</v>
      </c>
      <c r="D36" s="19" t="s">
        <v>37</v>
      </c>
      <c r="E36" s="20">
        <v>500</v>
      </c>
      <c r="F36" s="21"/>
      <c r="G36" s="22">
        <f>ROUND(F36*E36,2)</f>
        <v>0</v>
      </c>
      <c r="I36" s="3"/>
      <c r="J36" s="3"/>
    </row>
    <row r="37" spans="1:10" s="1" customFormat="1" ht="50.25" customHeight="1">
      <c r="A37" s="17" t="s">
        <v>367</v>
      </c>
      <c r="B37" s="18" t="s">
        <v>52</v>
      </c>
      <c r="C37" s="18" t="s">
        <v>217</v>
      </c>
      <c r="D37" s="19" t="s">
        <v>37</v>
      </c>
      <c r="E37" s="20">
        <v>1048</v>
      </c>
      <c r="F37" s="21"/>
      <c r="G37" s="22">
        <f>ROUND(F37*E37,2)</f>
        <v>0</v>
      </c>
      <c r="I37" s="3"/>
      <c r="J37" s="3"/>
    </row>
    <row r="38" spans="1:10" ht="36.75" customHeight="1">
      <c r="A38" s="17" t="s">
        <v>368</v>
      </c>
      <c r="B38" s="18" t="s">
        <v>18</v>
      </c>
      <c r="C38" s="18" t="s">
        <v>218</v>
      </c>
      <c r="D38" s="19" t="s">
        <v>10</v>
      </c>
      <c r="E38" s="20">
        <v>314.39999999999998</v>
      </c>
      <c r="F38" s="21"/>
      <c r="G38" s="22">
        <f>ROUND(F38*E38,2)</f>
        <v>0</v>
      </c>
    </row>
    <row r="39" spans="1:10" ht="36.75" customHeight="1">
      <c r="A39" s="17" t="s">
        <v>369</v>
      </c>
      <c r="B39" s="18" t="s">
        <v>66</v>
      </c>
      <c r="C39" s="18" t="s">
        <v>67</v>
      </c>
      <c r="D39" s="19" t="s">
        <v>68</v>
      </c>
      <c r="E39" s="20">
        <v>2</v>
      </c>
      <c r="F39" s="21"/>
      <c r="G39" s="22">
        <f>ROUND(F39*E39,2)</f>
        <v>0</v>
      </c>
    </row>
    <row r="40" spans="1:10" ht="36.75" customHeight="1">
      <c r="A40" s="17" t="s">
        <v>375</v>
      </c>
      <c r="B40" s="18" t="s">
        <v>70</v>
      </c>
      <c r="C40" s="18" t="s">
        <v>219</v>
      </c>
      <c r="D40" s="19" t="s">
        <v>68</v>
      </c>
      <c r="E40" s="20">
        <v>2</v>
      </c>
      <c r="F40" s="21"/>
      <c r="G40" s="22">
        <f>ROUND(F40*E40,2)</f>
        <v>0</v>
      </c>
    </row>
    <row r="41" spans="1:10" ht="17.25" thickBot="1">
      <c r="A41" s="117" t="s">
        <v>19</v>
      </c>
      <c r="B41" s="118"/>
      <c r="C41" s="118"/>
      <c r="D41" s="118"/>
      <c r="E41" s="118"/>
      <c r="F41" s="119"/>
      <c r="G41" s="25">
        <f>SUM(G36:G40)</f>
        <v>0</v>
      </c>
    </row>
    <row r="42" spans="1:10" s="26" customFormat="1" ht="34.5" customHeight="1" thickTop="1">
      <c r="A42" s="120" t="s">
        <v>20</v>
      </c>
      <c r="B42" s="121"/>
      <c r="C42" s="121"/>
      <c r="D42" s="121"/>
      <c r="E42" s="121"/>
      <c r="F42" s="122">
        <f>+G41+G34+G30+G27+G22+G17+G11</f>
        <v>0</v>
      </c>
      <c r="G42" s="123"/>
      <c r="H42" s="1"/>
    </row>
    <row r="43" spans="1:10">
      <c r="A43" s="124" t="s">
        <v>21</v>
      </c>
      <c r="B43" s="125"/>
      <c r="C43" s="125"/>
      <c r="D43" s="125"/>
      <c r="E43" s="126"/>
      <c r="F43" s="127">
        <f>ROUND(F42*0.23,2)</f>
        <v>0</v>
      </c>
      <c r="G43" s="128"/>
    </row>
    <row r="44" spans="1:10" ht="42" customHeight="1" thickBot="1">
      <c r="A44" s="107" t="s">
        <v>404</v>
      </c>
      <c r="B44" s="108"/>
      <c r="C44" s="108"/>
      <c r="D44" s="108"/>
      <c r="E44" s="108"/>
      <c r="F44" s="109">
        <f>+F43+F42</f>
        <v>0</v>
      </c>
      <c r="G44" s="110"/>
    </row>
    <row r="45" spans="1:10" ht="17.25" thickTop="1"/>
    <row r="46" spans="1:10">
      <c r="C46" s="1"/>
      <c r="G46" s="1">
        <f>+F44</f>
        <v>0</v>
      </c>
    </row>
    <row r="47" spans="1:10" s="1" customFormat="1">
      <c r="A47" s="3"/>
      <c r="B47" s="3"/>
      <c r="C47" s="3"/>
      <c r="D47" s="27"/>
      <c r="E47" s="111">
        <f>+G46/0.51</f>
        <v>0</v>
      </c>
      <c r="F47" s="111"/>
      <c r="G47" s="1" t="s">
        <v>98</v>
      </c>
      <c r="I47" s="3"/>
      <c r="J47" s="3"/>
    </row>
  </sheetData>
  <mergeCells count="24">
    <mergeCell ref="C12:G12"/>
    <mergeCell ref="A1:G1"/>
    <mergeCell ref="A2:G2"/>
    <mergeCell ref="A3:G3"/>
    <mergeCell ref="C6:G6"/>
    <mergeCell ref="A11:F11"/>
    <mergeCell ref="A42:E42"/>
    <mergeCell ref="F42:G42"/>
    <mergeCell ref="A17:F17"/>
    <mergeCell ref="C18:G18"/>
    <mergeCell ref="A22:F22"/>
    <mergeCell ref="C23:G23"/>
    <mergeCell ref="A27:F27"/>
    <mergeCell ref="C28:G28"/>
    <mergeCell ref="A30:F30"/>
    <mergeCell ref="C31:G31"/>
    <mergeCell ref="A34:F34"/>
    <mergeCell ref="C35:G35"/>
    <mergeCell ref="A41:F41"/>
    <mergeCell ref="A43:E43"/>
    <mergeCell ref="F43:G43"/>
    <mergeCell ref="A44:E44"/>
    <mergeCell ref="F44:G44"/>
    <mergeCell ref="E47:F47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showGridLines="0" zoomScale="115" zoomScaleNormal="115" workbookViewId="0">
      <selection activeCell="F37" sqref="F37:F42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10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10" ht="23.25" customHeight="1">
      <c r="A2" s="133" t="s">
        <v>359</v>
      </c>
      <c r="B2" s="133"/>
      <c r="C2" s="133"/>
      <c r="D2" s="133"/>
      <c r="E2" s="133"/>
      <c r="F2" s="133"/>
      <c r="G2" s="133"/>
    </row>
    <row r="3" spans="1:10" ht="8.25" customHeight="1" thickBot="1">
      <c r="A3" s="134"/>
      <c r="B3" s="134"/>
      <c r="C3" s="134"/>
      <c r="D3" s="134"/>
      <c r="E3" s="134"/>
      <c r="F3" s="134"/>
      <c r="G3" s="134"/>
    </row>
    <row r="4" spans="1:10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10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10">
      <c r="A6" s="15">
        <v>1</v>
      </c>
      <c r="B6" s="16"/>
      <c r="C6" s="112" t="s">
        <v>125</v>
      </c>
      <c r="D6" s="113"/>
      <c r="E6" s="113"/>
      <c r="F6" s="113"/>
      <c r="G6" s="114"/>
    </row>
    <row r="7" spans="1:10" ht="33">
      <c r="A7" s="17" t="s">
        <v>7</v>
      </c>
      <c r="B7" s="18" t="s">
        <v>9</v>
      </c>
      <c r="C7" s="18" t="s">
        <v>92</v>
      </c>
      <c r="D7" s="19" t="s">
        <v>93</v>
      </c>
      <c r="E7" s="20">
        <v>0.72399999999999998</v>
      </c>
      <c r="F7" s="21"/>
      <c r="G7" s="22">
        <f t="shared" ref="G7:G10" si="0">ROUND(F7*E7,2)</f>
        <v>0</v>
      </c>
    </row>
    <row r="8" spans="1:10" ht="49.5">
      <c r="A8" s="17" t="s">
        <v>8</v>
      </c>
      <c r="B8" s="18" t="s">
        <v>9</v>
      </c>
      <c r="C8" s="18" t="s">
        <v>222</v>
      </c>
      <c r="D8" s="19" t="s">
        <v>10</v>
      </c>
      <c r="E8" s="20">
        <v>2505</v>
      </c>
      <c r="F8" s="21"/>
      <c r="G8" s="22">
        <f t="shared" si="0"/>
        <v>0</v>
      </c>
    </row>
    <row r="9" spans="1:10" ht="57.75" customHeight="1">
      <c r="A9" s="17" t="s">
        <v>38</v>
      </c>
      <c r="B9" s="18" t="s">
        <v>58</v>
      </c>
      <c r="C9" s="18" t="s">
        <v>225</v>
      </c>
      <c r="D9" s="19" t="s">
        <v>11</v>
      </c>
      <c r="E9" s="20">
        <v>220.2</v>
      </c>
      <c r="F9" s="21"/>
      <c r="G9" s="22">
        <f t="shared" si="0"/>
        <v>0</v>
      </c>
    </row>
    <row r="10" spans="1:10" ht="33">
      <c r="A10" s="17" t="s">
        <v>59</v>
      </c>
      <c r="B10" s="18" t="s">
        <v>75</v>
      </c>
      <c r="C10" s="18" t="s">
        <v>223</v>
      </c>
      <c r="D10" s="19" t="s">
        <v>11</v>
      </c>
      <c r="E10" s="20">
        <v>200</v>
      </c>
      <c r="F10" s="21"/>
      <c r="G10" s="22">
        <f t="shared" si="0"/>
        <v>0</v>
      </c>
    </row>
    <row r="11" spans="1:10">
      <c r="A11" s="115" t="s">
        <v>126</v>
      </c>
      <c r="B11" s="113"/>
      <c r="C11" s="113"/>
      <c r="D11" s="113"/>
      <c r="E11" s="113"/>
      <c r="F11" s="116"/>
      <c r="G11" s="23">
        <f>SUM(G7:G10)</f>
        <v>0</v>
      </c>
    </row>
    <row r="12" spans="1:10">
      <c r="A12" s="15">
        <v>2</v>
      </c>
      <c r="B12" s="16"/>
      <c r="C12" s="112" t="s">
        <v>23</v>
      </c>
      <c r="D12" s="113"/>
      <c r="E12" s="113"/>
      <c r="F12" s="113"/>
      <c r="G12" s="114"/>
    </row>
    <row r="13" spans="1:10" ht="33" customHeight="1">
      <c r="A13" s="17" t="s">
        <v>53</v>
      </c>
      <c r="B13" s="18" t="s">
        <v>75</v>
      </c>
      <c r="C13" s="18" t="s">
        <v>220</v>
      </c>
      <c r="D13" s="19" t="s">
        <v>37</v>
      </c>
      <c r="E13" s="20">
        <v>12</v>
      </c>
      <c r="F13" s="21"/>
      <c r="G13" s="22">
        <f>ROUND(F13*E13,2)</f>
        <v>0</v>
      </c>
    </row>
    <row r="14" spans="1:10" ht="33" customHeight="1">
      <c r="A14" s="17" t="s">
        <v>56</v>
      </c>
      <c r="B14" s="24" t="s">
        <v>85</v>
      </c>
      <c r="C14" s="18" t="s">
        <v>221</v>
      </c>
      <c r="D14" s="19" t="s">
        <v>11</v>
      </c>
      <c r="E14" s="20">
        <v>4</v>
      </c>
      <c r="F14" s="21"/>
      <c r="G14" s="22">
        <f>ROUND(F14*E14,2)</f>
        <v>0</v>
      </c>
    </row>
    <row r="15" spans="1:10" s="1" customFormat="1" ht="32.25" customHeight="1">
      <c r="A15" s="17" t="s">
        <v>60</v>
      </c>
      <c r="B15" s="18" t="s">
        <v>72</v>
      </c>
      <c r="C15" s="18" t="s">
        <v>224</v>
      </c>
      <c r="D15" s="19" t="s">
        <v>11</v>
      </c>
      <c r="E15" s="20">
        <v>36</v>
      </c>
      <c r="F15" s="21"/>
      <c r="G15" s="22">
        <f>ROUND(F15*E15,2)</f>
        <v>0</v>
      </c>
      <c r="I15" s="3"/>
      <c r="J15" s="3"/>
    </row>
    <row r="16" spans="1:10" s="1" customFormat="1">
      <c r="A16" s="115" t="s">
        <v>22</v>
      </c>
      <c r="B16" s="113"/>
      <c r="C16" s="113"/>
      <c r="D16" s="113"/>
      <c r="E16" s="113"/>
      <c r="F16" s="116"/>
      <c r="G16" s="23">
        <f>SUM(G13:G15)</f>
        <v>0</v>
      </c>
      <c r="I16" s="3"/>
      <c r="J16" s="3"/>
    </row>
    <row r="17" spans="1:10">
      <c r="A17" s="15">
        <v>3</v>
      </c>
      <c r="B17" s="16"/>
      <c r="C17" s="112" t="s">
        <v>26</v>
      </c>
      <c r="D17" s="113"/>
      <c r="E17" s="113"/>
      <c r="F17" s="113"/>
      <c r="G17" s="114"/>
    </row>
    <row r="18" spans="1:10" ht="48" customHeight="1">
      <c r="A18" s="17" t="s">
        <v>55</v>
      </c>
      <c r="B18" s="18" t="s">
        <v>75</v>
      </c>
      <c r="C18" s="18" t="s">
        <v>226</v>
      </c>
      <c r="D18" s="19" t="s">
        <v>10</v>
      </c>
      <c r="E18" s="20">
        <v>2091</v>
      </c>
      <c r="F18" s="21"/>
      <c r="G18" s="22">
        <f t="shared" ref="G18" si="1">ROUND(F18*E18,2)</f>
        <v>0</v>
      </c>
    </row>
    <row r="19" spans="1:10" ht="50.25" customHeight="1">
      <c r="A19" s="17" t="s">
        <v>80</v>
      </c>
      <c r="B19" s="24" t="s">
        <v>52</v>
      </c>
      <c r="C19" s="18" t="s">
        <v>228</v>
      </c>
      <c r="D19" s="19" t="s">
        <v>10</v>
      </c>
      <c r="E19" s="20">
        <v>1115</v>
      </c>
      <c r="F19" s="21"/>
      <c r="G19" s="22">
        <f>ROUND(F19*E19,2)</f>
        <v>0</v>
      </c>
    </row>
    <row r="20" spans="1:10" ht="50.25" customHeight="1">
      <c r="A20" s="17" t="s">
        <v>63</v>
      </c>
      <c r="B20" s="24" t="s">
        <v>52</v>
      </c>
      <c r="C20" s="18" t="s">
        <v>227</v>
      </c>
      <c r="D20" s="19" t="s">
        <v>10</v>
      </c>
      <c r="E20" s="20">
        <v>976</v>
      </c>
      <c r="F20" s="21"/>
      <c r="G20" s="22">
        <f>ROUND(F20*E20,2)</f>
        <v>0</v>
      </c>
    </row>
    <row r="21" spans="1:10" ht="54" customHeight="1">
      <c r="A21" s="17" t="s">
        <v>64</v>
      </c>
      <c r="B21" s="24" t="s">
        <v>76</v>
      </c>
      <c r="C21" s="18" t="s">
        <v>192</v>
      </c>
      <c r="D21" s="19" t="s">
        <v>10</v>
      </c>
      <c r="E21" s="20">
        <f>+E18</f>
        <v>2091</v>
      </c>
      <c r="F21" s="21"/>
      <c r="G21" s="22">
        <f>ROUND(F21*E21,2)</f>
        <v>0</v>
      </c>
    </row>
    <row r="22" spans="1:10">
      <c r="A22" s="115" t="s">
        <v>84</v>
      </c>
      <c r="B22" s="113"/>
      <c r="C22" s="113"/>
      <c r="D22" s="113"/>
      <c r="E22" s="113"/>
      <c r="F22" s="116"/>
      <c r="G22" s="23">
        <f>SUM(G18:G21)</f>
        <v>0</v>
      </c>
    </row>
    <row r="23" spans="1:10" s="1" customFormat="1">
      <c r="A23" s="15">
        <v>4</v>
      </c>
      <c r="B23" s="16"/>
      <c r="C23" s="112" t="s">
        <v>12</v>
      </c>
      <c r="D23" s="113"/>
      <c r="E23" s="113"/>
      <c r="F23" s="113"/>
      <c r="G23" s="114"/>
      <c r="I23" s="3"/>
      <c r="J23" s="3"/>
    </row>
    <row r="24" spans="1:10" s="1" customFormat="1" ht="36.75" customHeight="1">
      <c r="A24" s="17" t="s">
        <v>65</v>
      </c>
      <c r="B24" s="18" t="s">
        <v>81</v>
      </c>
      <c r="C24" s="18" t="s">
        <v>229</v>
      </c>
      <c r="D24" s="19" t="s">
        <v>14</v>
      </c>
      <c r="E24" s="20">
        <v>118</v>
      </c>
      <c r="F24" s="21"/>
      <c r="G24" s="22">
        <f>ROUND(F24*E24,2)</f>
        <v>0</v>
      </c>
      <c r="I24" s="3"/>
      <c r="J24" s="3"/>
    </row>
    <row r="25" spans="1:10" ht="49.5">
      <c r="A25" s="17" t="s">
        <v>381</v>
      </c>
      <c r="B25" s="18" t="s">
        <v>15</v>
      </c>
      <c r="C25" s="18" t="s">
        <v>230</v>
      </c>
      <c r="D25" s="19" t="s">
        <v>10</v>
      </c>
      <c r="E25" s="20">
        <v>1278</v>
      </c>
      <c r="F25" s="21"/>
      <c r="G25" s="22">
        <f>ROUND(F25*E25,2)</f>
        <v>0</v>
      </c>
    </row>
    <row r="26" spans="1:10" s="1" customFormat="1" ht="33">
      <c r="A26" s="17" t="s">
        <v>69</v>
      </c>
      <c r="B26" s="18" t="s">
        <v>50</v>
      </c>
      <c r="C26" s="18" t="s">
        <v>231</v>
      </c>
      <c r="D26" s="19" t="s">
        <v>10</v>
      </c>
      <c r="E26" s="20">
        <v>2789</v>
      </c>
      <c r="F26" s="21"/>
      <c r="G26" s="22">
        <f>ROUND(F26*E26,2)</f>
        <v>0</v>
      </c>
      <c r="I26" s="3"/>
      <c r="J26" s="3"/>
    </row>
    <row r="27" spans="1:10" s="1" customFormat="1">
      <c r="A27" s="115" t="s">
        <v>16</v>
      </c>
      <c r="B27" s="113"/>
      <c r="C27" s="113"/>
      <c r="D27" s="113"/>
      <c r="E27" s="113"/>
      <c r="F27" s="116"/>
      <c r="G27" s="23">
        <f>SUM(G24:G26)</f>
        <v>0</v>
      </c>
      <c r="I27" s="3"/>
      <c r="J27" s="3"/>
    </row>
    <row r="28" spans="1:10" s="1" customFormat="1">
      <c r="A28" s="15">
        <v>5</v>
      </c>
      <c r="B28" s="16"/>
      <c r="C28" s="112" t="s">
        <v>112</v>
      </c>
      <c r="D28" s="113"/>
      <c r="E28" s="113"/>
      <c r="F28" s="113"/>
      <c r="G28" s="114"/>
      <c r="I28" s="3"/>
      <c r="J28" s="3"/>
    </row>
    <row r="29" spans="1:10" s="1" customFormat="1" ht="50.25" customHeight="1">
      <c r="A29" s="17" t="s">
        <v>89</v>
      </c>
      <c r="B29" s="96" t="s">
        <v>75</v>
      </c>
      <c r="C29" s="18" t="s">
        <v>232</v>
      </c>
      <c r="D29" s="19" t="s">
        <v>37</v>
      </c>
      <c r="E29" s="20">
        <v>700</v>
      </c>
      <c r="F29" s="21"/>
      <c r="G29" s="22">
        <f>ROUND(F29*E29,2)</f>
        <v>0</v>
      </c>
      <c r="I29" s="3"/>
      <c r="J29" s="3"/>
    </row>
    <row r="30" spans="1:10" s="1" customFormat="1" ht="20.25" customHeight="1">
      <c r="A30" s="117" t="s">
        <v>119</v>
      </c>
      <c r="B30" s="118"/>
      <c r="C30" s="118"/>
      <c r="D30" s="118"/>
      <c r="E30" s="118"/>
      <c r="F30" s="119"/>
      <c r="G30" s="25">
        <f>SUM(G29:G29)</f>
        <v>0</v>
      </c>
      <c r="I30" s="3"/>
      <c r="J30" s="3"/>
    </row>
    <row r="31" spans="1:10" s="1" customFormat="1">
      <c r="A31" s="15">
        <v>6</v>
      </c>
      <c r="B31" s="16"/>
      <c r="C31" s="112" t="s">
        <v>118</v>
      </c>
      <c r="D31" s="113"/>
      <c r="E31" s="113"/>
      <c r="F31" s="113"/>
      <c r="G31" s="114"/>
      <c r="I31" s="3"/>
      <c r="J31" s="3"/>
    </row>
    <row r="32" spans="1:10" s="1" customFormat="1" ht="54.75" customHeight="1">
      <c r="A32" s="17" t="s">
        <v>354</v>
      </c>
      <c r="B32" s="96" t="s">
        <v>75</v>
      </c>
      <c r="C32" s="18" t="s">
        <v>237</v>
      </c>
      <c r="D32" s="19" t="s">
        <v>37</v>
      </c>
      <c r="E32" s="20">
        <v>24</v>
      </c>
      <c r="F32" s="21"/>
      <c r="G32" s="22">
        <f>ROUND(F32*E32,2)</f>
        <v>0</v>
      </c>
      <c r="I32" s="3"/>
      <c r="J32" s="3"/>
    </row>
    <row r="33" spans="1:10" s="1" customFormat="1" ht="75" customHeight="1">
      <c r="A33" s="17" t="s">
        <v>373</v>
      </c>
      <c r="B33" s="96" t="s">
        <v>75</v>
      </c>
      <c r="C33" s="18" t="s">
        <v>239</v>
      </c>
      <c r="D33" s="19" t="s">
        <v>68</v>
      </c>
      <c r="E33" s="20">
        <v>30</v>
      </c>
      <c r="F33" s="21"/>
      <c r="G33" s="22">
        <f>ROUND(F33*E33,2)</f>
        <v>0</v>
      </c>
      <c r="I33" s="3"/>
      <c r="J33" s="3"/>
    </row>
    <row r="34" spans="1:10" s="1" customFormat="1" ht="50.25" customHeight="1">
      <c r="A34" s="17" t="s">
        <v>374</v>
      </c>
      <c r="B34" s="96" t="s">
        <v>75</v>
      </c>
      <c r="C34" s="18" t="s">
        <v>238</v>
      </c>
      <c r="D34" s="19" t="s">
        <v>10</v>
      </c>
      <c r="E34" s="20">
        <v>40</v>
      </c>
      <c r="F34" s="21"/>
      <c r="G34" s="22">
        <f>ROUND(F34*E34,2)</f>
        <v>0</v>
      </c>
      <c r="I34" s="3"/>
      <c r="J34" s="3"/>
    </row>
    <row r="35" spans="1:10" s="1" customFormat="1" ht="20.25" customHeight="1">
      <c r="A35" s="117" t="s">
        <v>120</v>
      </c>
      <c r="B35" s="118"/>
      <c r="C35" s="118"/>
      <c r="D35" s="118"/>
      <c r="E35" s="118"/>
      <c r="F35" s="119"/>
      <c r="G35" s="25">
        <f>SUM(G32:G34)</f>
        <v>0</v>
      </c>
      <c r="I35" s="3"/>
      <c r="J35" s="3"/>
    </row>
    <row r="36" spans="1:10" s="1" customFormat="1">
      <c r="A36" s="15">
        <v>7</v>
      </c>
      <c r="B36" s="16"/>
      <c r="C36" s="112" t="s">
        <v>17</v>
      </c>
      <c r="D36" s="113"/>
      <c r="E36" s="113"/>
      <c r="F36" s="113"/>
      <c r="G36" s="114"/>
      <c r="I36" s="3"/>
      <c r="J36" s="3"/>
    </row>
    <row r="37" spans="1:10" s="1" customFormat="1" ht="50.25" customHeight="1">
      <c r="A37" s="17" t="s">
        <v>380</v>
      </c>
      <c r="B37" s="18" t="s">
        <v>52</v>
      </c>
      <c r="C37" s="18" t="s">
        <v>334</v>
      </c>
      <c r="D37" s="19" t="s">
        <v>37</v>
      </c>
      <c r="E37" s="20">
        <v>668</v>
      </c>
      <c r="F37" s="21"/>
      <c r="G37" s="22">
        <f>ROUND(F37*E37,2)</f>
        <v>0</v>
      </c>
      <c r="I37" s="3"/>
      <c r="J37" s="3"/>
    </row>
    <row r="38" spans="1:10" s="1" customFormat="1" ht="50.25" customHeight="1">
      <c r="A38" s="17" t="s">
        <v>367</v>
      </c>
      <c r="B38" s="18" t="s">
        <v>52</v>
      </c>
      <c r="C38" s="18" t="s">
        <v>233</v>
      </c>
      <c r="D38" s="19" t="s">
        <v>37</v>
      </c>
      <c r="E38" s="20">
        <v>1450</v>
      </c>
      <c r="F38" s="21"/>
      <c r="G38" s="22">
        <f>ROUND(F38*E38,2)</f>
        <v>0</v>
      </c>
      <c r="I38" s="3"/>
      <c r="J38" s="3"/>
    </row>
    <row r="39" spans="1:10" ht="36.75" customHeight="1">
      <c r="A39" s="17" t="s">
        <v>368</v>
      </c>
      <c r="B39" s="18" t="s">
        <v>18</v>
      </c>
      <c r="C39" s="18" t="s">
        <v>234</v>
      </c>
      <c r="D39" s="19" t="s">
        <v>10</v>
      </c>
      <c r="E39" s="20">
        <v>1087.5</v>
      </c>
      <c r="F39" s="21"/>
      <c r="G39" s="22">
        <f>ROUND(F39*E39,2)</f>
        <v>0</v>
      </c>
    </row>
    <row r="40" spans="1:10" ht="33" customHeight="1">
      <c r="A40" s="17" t="s">
        <v>369</v>
      </c>
      <c r="B40" s="96" t="s">
        <v>75</v>
      </c>
      <c r="C40" s="18" t="s">
        <v>235</v>
      </c>
      <c r="D40" s="19" t="s">
        <v>37</v>
      </c>
      <c r="E40" s="20">
        <v>80</v>
      </c>
      <c r="F40" s="21"/>
      <c r="G40" s="22">
        <f t="shared" ref="G40" si="2">ROUND(F40*E40,2)</f>
        <v>0</v>
      </c>
    </row>
    <row r="41" spans="1:10" ht="36.75" customHeight="1">
      <c r="A41" s="17" t="s">
        <v>375</v>
      </c>
      <c r="B41" s="18" t="s">
        <v>66</v>
      </c>
      <c r="C41" s="18" t="s">
        <v>67</v>
      </c>
      <c r="D41" s="19" t="s">
        <v>68</v>
      </c>
      <c r="E41" s="20">
        <v>1</v>
      </c>
      <c r="F41" s="21"/>
      <c r="G41" s="22">
        <f>ROUND(F41*E41,2)</f>
        <v>0</v>
      </c>
    </row>
    <row r="42" spans="1:10" ht="36.75" customHeight="1">
      <c r="A42" s="17" t="s">
        <v>376</v>
      </c>
      <c r="B42" s="18" t="s">
        <v>70</v>
      </c>
      <c r="C42" s="18" t="s">
        <v>236</v>
      </c>
      <c r="D42" s="19" t="s">
        <v>68</v>
      </c>
      <c r="E42" s="20">
        <v>1</v>
      </c>
      <c r="F42" s="21"/>
      <c r="G42" s="22">
        <f>ROUND(F42*E42,2)</f>
        <v>0</v>
      </c>
    </row>
    <row r="43" spans="1:10" ht="17.25" thickBot="1">
      <c r="A43" s="117" t="s">
        <v>19</v>
      </c>
      <c r="B43" s="118"/>
      <c r="C43" s="118"/>
      <c r="D43" s="118"/>
      <c r="E43" s="118"/>
      <c r="F43" s="119"/>
      <c r="G43" s="25">
        <f>SUM(G37:G42)</f>
        <v>0</v>
      </c>
    </row>
    <row r="44" spans="1:10" s="26" customFormat="1" ht="34.5" customHeight="1" thickTop="1">
      <c r="A44" s="120" t="s">
        <v>20</v>
      </c>
      <c r="B44" s="121"/>
      <c r="C44" s="121"/>
      <c r="D44" s="121"/>
      <c r="E44" s="121"/>
      <c r="F44" s="122">
        <f>+G43+G35+G30+G27+G22+G16+G11</f>
        <v>0</v>
      </c>
      <c r="G44" s="123"/>
      <c r="H44" s="1"/>
    </row>
    <row r="45" spans="1:10">
      <c r="A45" s="124" t="s">
        <v>21</v>
      </c>
      <c r="B45" s="125"/>
      <c r="C45" s="125"/>
      <c r="D45" s="125"/>
      <c r="E45" s="126"/>
      <c r="F45" s="127">
        <f>ROUND(F44*0.23,2)</f>
        <v>0</v>
      </c>
      <c r="G45" s="128"/>
    </row>
    <row r="46" spans="1:10" ht="42" customHeight="1" thickBot="1">
      <c r="A46" s="107" t="s">
        <v>404</v>
      </c>
      <c r="B46" s="108"/>
      <c r="C46" s="108"/>
      <c r="D46" s="108"/>
      <c r="E46" s="108"/>
      <c r="F46" s="109">
        <f>+F45+F44</f>
        <v>0</v>
      </c>
      <c r="G46" s="110"/>
    </row>
    <row r="47" spans="1:10" ht="17.25" thickTop="1"/>
    <row r="48" spans="1:10">
      <c r="C48" s="1"/>
      <c r="G48" s="1">
        <f>+F46</f>
        <v>0</v>
      </c>
    </row>
    <row r="49" spans="1:10" s="1" customFormat="1">
      <c r="A49" s="3"/>
      <c r="B49" s="3"/>
      <c r="C49" s="3"/>
      <c r="D49" s="27"/>
      <c r="E49" s="111">
        <f>+G48/0.724</f>
        <v>0</v>
      </c>
      <c r="F49" s="111"/>
      <c r="G49" s="1" t="s">
        <v>98</v>
      </c>
      <c r="I49" s="3"/>
      <c r="J49" s="3"/>
    </row>
    <row r="51" spans="1:10" s="1" customFormat="1">
      <c r="A51" s="3"/>
      <c r="B51" s="3"/>
      <c r="C51" s="3"/>
      <c r="D51" s="27"/>
      <c r="E51" s="28"/>
      <c r="G51" s="22"/>
      <c r="I51" s="3"/>
      <c r="J51" s="3"/>
    </row>
    <row r="52" spans="1:10" s="1" customFormat="1">
      <c r="A52" s="3"/>
      <c r="B52" s="3"/>
      <c r="C52" s="3"/>
      <c r="D52" s="27"/>
      <c r="E52" s="28"/>
      <c r="G52" s="22"/>
      <c r="I52" s="3"/>
      <c r="J52" s="3"/>
    </row>
    <row r="54" spans="1:10" s="1" customFormat="1">
      <c r="A54" s="3"/>
      <c r="B54" s="3"/>
      <c r="C54" s="3"/>
      <c r="D54" s="27"/>
      <c r="E54" s="28"/>
      <c r="I54" s="3"/>
      <c r="J54" s="3"/>
    </row>
    <row r="55" spans="1:10" s="1" customFormat="1">
      <c r="A55" s="3"/>
      <c r="B55" s="3"/>
      <c r="C55" s="3"/>
      <c r="D55" s="27"/>
      <c r="E55" s="28"/>
      <c r="G55" s="90"/>
      <c r="I55" s="3"/>
      <c r="J55" s="3"/>
    </row>
  </sheetData>
  <mergeCells count="24">
    <mergeCell ref="A45:E45"/>
    <mergeCell ref="F45:G45"/>
    <mergeCell ref="A46:E46"/>
    <mergeCell ref="F46:G46"/>
    <mergeCell ref="E49:F49"/>
    <mergeCell ref="A44:E44"/>
    <mergeCell ref="F44:G44"/>
    <mergeCell ref="A16:F16"/>
    <mergeCell ref="C17:G17"/>
    <mergeCell ref="A22:F22"/>
    <mergeCell ref="C23:G23"/>
    <mergeCell ref="A27:F27"/>
    <mergeCell ref="C28:G28"/>
    <mergeCell ref="A30:F30"/>
    <mergeCell ref="C31:G31"/>
    <mergeCell ref="A35:F35"/>
    <mergeCell ref="C36:G36"/>
    <mergeCell ref="A43:F43"/>
    <mergeCell ref="C12:G12"/>
    <mergeCell ref="A1:G1"/>
    <mergeCell ref="A2:G2"/>
    <mergeCell ref="A3:G3"/>
    <mergeCell ref="C6:G6"/>
    <mergeCell ref="A11:F11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zoomScale="115" zoomScaleNormal="115" workbookViewId="0">
      <selection activeCell="F45" sqref="F45:F49"/>
    </sheetView>
  </sheetViews>
  <sheetFormatPr defaultColWidth="10.625" defaultRowHeight="16.5"/>
  <cols>
    <col min="1" max="1" width="5.5" style="3" customWidth="1"/>
    <col min="2" max="2" width="8.25" style="3" customWidth="1"/>
    <col min="3" max="3" width="52.25" style="3" customWidth="1"/>
    <col min="4" max="4" width="6.375" style="27" customWidth="1"/>
    <col min="5" max="5" width="7.375" style="28" customWidth="1"/>
    <col min="6" max="6" width="8.5" style="1" customWidth="1"/>
    <col min="7" max="7" width="10.25" style="1" customWidth="1"/>
    <col min="8" max="8" width="10.625" style="1"/>
    <col min="9" max="16384" width="10.625" style="3"/>
  </cols>
  <sheetData>
    <row r="1" spans="1:9" ht="24" customHeight="1">
      <c r="A1" s="132" t="s">
        <v>441</v>
      </c>
      <c r="B1" s="132"/>
      <c r="C1" s="132"/>
      <c r="D1" s="132"/>
      <c r="E1" s="132"/>
      <c r="F1" s="132"/>
      <c r="G1" s="132"/>
    </row>
    <row r="2" spans="1:9" ht="23.25" customHeight="1">
      <c r="A2" s="133" t="s">
        <v>358</v>
      </c>
      <c r="B2" s="133"/>
      <c r="C2" s="133"/>
      <c r="D2" s="133"/>
      <c r="E2" s="133"/>
      <c r="F2" s="133"/>
      <c r="G2" s="133"/>
    </row>
    <row r="3" spans="1:9" ht="8.25" customHeight="1" thickBot="1">
      <c r="A3" s="134"/>
      <c r="B3" s="134"/>
      <c r="C3" s="134"/>
      <c r="D3" s="134"/>
      <c r="E3" s="134"/>
      <c r="F3" s="134"/>
      <c r="G3" s="134"/>
    </row>
    <row r="4" spans="1:9" ht="33.75" thickTop="1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8" t="s">
        <v>6</v>
      </c>
    </row>
    <row r="5" spans="1:9" s="14" customFormat="1" ht="12.75">
      <c r="A5" s="9">
        <v>1</v>
      </c>
      <c r="B5" s="10">
        <v>2</v>
      </c>
      <c r="C5" s="10">
        <v>3</v>
      </c>
      <c r="D5" s="10">
        <v>4</v>
      </c>
      <c r="E5" s="11">
        <v>5</v>
      </c>
      <c r="F5" s="11">
        <v>6</v>
      </c>
      <c r="G5" s="12">
        <v>7</v>
      </c>
      <c r="H5" s="13"/>
    </row>
    <row r="6" spans="1:9">
      <c r="A6" s="15">
        <v>1</v>
      </c>
      <c r="B6" s="16"/>
      <c r="C6" s="112" t="s">
        <v>125</v>
      </c>
      <c r="D6" s="113"/>
      <c r="E6" s="113"/>
      <c r="F6" s="113"/>
      <c r="G6" s="114"/>
    </row>
    <row r="7" spans="1:9" ht="33">
      <c r="A7" s="17" t="s">
        <v>7</v>
      </c>
      <c r="B7" s="18" t="s">
        <v>9</v>
      </c>
      <c r="C7" s="18" t="s">
        <v>92</v>
      </c>
      <c r="D7" s="19" t="s">
        <v>93</v>
      </c>
      <c r="E7" s="20">
        <v>0.23100000000000001</v>
      </c>
      <c r="F7" s="21"/>
      <c r="G7" s="22">
        <f t="shared" ref="G7:G10" si="0">ROUND(F7*E7,2)</f>
        <v>0</v>
      </c>
    </row>
    <row r="8" spans="1:9" ht="33">
      <c r="A8" s="17" t="s">
        <v>8</v>
      </c>
      <c r="B8" s="18" t="s">
        <v>9</v>
      </c>
      <c r="C8" s="18" t="s">
        <v>240</v>
      </c>
      <c r="D8" s="19" t="s">
        <v>10</v>
      </c>
      <c r="E8" s="20">
        <v>765</v>
      </c>
      <c r="F8" s="21"/>
      <c r="G8" s="22">
        <f t="shared" si="0"/>
        <v>0</v>
      </c>
    </row>
    <row r="9" spans="1:9" ht="64.5" customHeight="1">
      <c r="A9" s="17" t="s">
        <v>38</v>
      </c>
      <c r="B9" s="18" t="s">
        <v>58</v>
      </c>
      <c r="C9" s="18" t="s">
        <v>241</v>
      </c>
      <c r="D9" s="19" t="s">
        <v>11</v>
      </c>
      <c r="E9" s="20">
        <v>42</v>
      </c>
      <c r="F9" s="21"/>
      <c r="G9" s="22">
        <f t="shared" si="0"/>
        <v>0</v>
      </c>
    </row>
    <row r="10" spans="1:9" ht="33">
      <c r="A10" s="17" t="s">
        <v>59</v>
      </c>
      <c r="B10" s="18" t="s">
        <v>75</v>
      </c>
      <c r="C10" s="18" t="s">
        <v>242</v>
      </c>
      <c r="D10" s="19" t="s">
        <v>11</v>
      </c>
      <c r="E10" s="20">
        <v>637</v>
      </c>
      <c r="F10" s="21"/>
      <c r="G10" s="22">
        <f t="shared" si="0"/>
        <v>0</v>
      </c>
    </row>
    <row r="11" spans="1:9">
      <c r="A11" s="115" t="s">
        <v>126</v>
      </c>
      <c r="B11" s="113"/>
      <c r="C11" s="113"/>
      <c r="D11" s="113"/>
      <c r="E11" s="113"/>
      <c r="F11" s="116"/>
      <c r="G11" s="23">
        <f>SUM(G7:G10)</f>
        <v>0</v>
      </c>
    </row>
    <row r="12" spans="1:9">
      <c r="A12" s="15">
        <v>2</v>
      </c>
      <c r="B12" s="16"/>
      <c r="C12" s="112" t="s">
        <v>23</v>
      </c>
      <c r="D12" s="113"/>
      <c r="E12" s="113"/>
      <c r="F12" s="113"/>
      <c r="G12" s="114"/>
    </row>
    <row r="13" spans="1:9" ht="33" customHeight="1">
      <c r="A13" s="17" t="s">
        <v>53</v>
      </c>
      <c r="B13" s="18" t="s">
        <v>75</v>
      </c>
      <c r="C13" s="18" t="s">
        <v>208</v>
      </c>
      <c r="D13" s="19" t="s">
        <v>37</v>
      </c>
      <c r="E13" s="20">
        <v>12</v>
      </c>
      <c r="F13" s="21"/>
      <c r="G13" s="22">
        <f>ROUND(F13*E13,2)</f>
        <v>0</v>
      </c>
    </row>
    <row r="14" spans="1:9" ht="33" customHeight="1">
      <c r="A14" s="17" t="s">
        <v>56</v>
      </c>
      <c r="B14" s="18" t="s">
        <v>75</v>
      </c>
      <c r="C14" s="18" t="s">
        <v>391</v>
      </c>
      <c r="D14" s="19" t="s">
        <v>37</v>
      </c>
      <c r="E14" s="20">
        <v>30</v>
      </c>
      <c r="F14" s="21"/>
      <c r="G14" s="22">
        <f>ROUND(F14*E14,2)</f>
        <v>0</v>
      </c>
    </row>
    <row r="15" spans="1:9" s="61" customFormat="1" ht="28.5" customHeight="1">
      <c r="A15" s="17" t="s">
        <v>60</v>
      </c>
      <c r="B15" s="55" t="s">
        <v>40</v>
      </c>
      <c r="C15" s="55" t="s">
        <v>244</v>
      </c>
      <c r="D15" s="56" t="s">
        <v>41</v>
      </c>
      <c r="E15" s="57">
        <v>1</v>
      </c>
      <c r="F15" s="58"/>
      <c r="G15" s="59">
        <f>ROUND(F15*E15,2)</f>
        <v>0</v>
      </c>
      <c r="H15" s="60"/>
      <c r="I15" s="60"/>
    </row>
    <row r="16" spans="1:9" ht="33" customHeight="1">
      <c r="A16" s="17" t="s">
        <v>61</v>
      </c>
      <c r="B16" s="24" t="s">
        <v>85</v>
      </c>
      <c r="C16" s="18" t="s">
        <v>392</v>
      </c>
      <c r="D16" s="19" t="s">
        <v>11</v>
      </c>
      <c r="E16" s="20">
        <v>7.2</v>
      </c>
      <c r="F16" s="21"/>
      <c r="G16" s="22">
        <f>ROUND(F16*E16,2)</f>
        <v>0</v>
      </c>
    </row>
    <row r="17" spans="1:13" s="1" customFormat="1" ht="32.25" customHeight="1">
      <c r="A17" s="17" t="s">
        <v>62</v>
      </c>
      <c r="B17" s="18" t="s">
        <v>72</v>
      </c>
      <c r="C17" s="18" t="s">
        <v>243</v>
      </c>
      <c r="D17" s="19" t="s">
        <v>11</v>
      </c>
      <c r="E17" s="20">
        <v>72</v>
      </c>
      <c r="F17" s="21"/>
      <c r="G17" s="22">
        <f>ROUND(F17*E17,2)</f>
        <v>0</v>
      </c>
      <c r="I17" s="3"/>
      <c r="J17" s="3"/>
    </row>
    <row r="18" spans="1:13" s="1" customFormat="1">
      <c r="A18" s="115" t="s">
        <v>22</v>
      </c>
      <c r="B18" s="113"/>
      <c r="C18" s="113"/>
      <c r="D18" s="113"/>
      <c r="E18" s="113"/>
      <c r="F18" s="116"/>
      <c r="G18" s="23">
        <f>SUM(G13:G17)</f>
        <v>0</v>
      </c>
      <c r="I18" s="3"/>
      <c r="J18" s="3"/>
    </row>
    <row r="19" spans="1:13">
      <c r="A19" s="15">
        <v>3</v>
      </c>
      <c r="B19" s="16"/>
      <c r="C19" s="112" t="s">
        <v>26</v>
      </c>
      <c r="D19" s="113"/>
      <c r="E19" s="113"/>
      <c r="F19" s="113"/>
      <c r="G19" s="114"/>
    </row>
    <row r="20" spans="1:13" ht="48" customHeight="1">
      <c r="A20" s="17" t="s">
        <v>63</v>
      </c>
      <c r="B20" s="18" t="s">
        <v>75</v>
      </c>
      <c r="C20" s="18" t="s">
        <v>245</v>
      </c>
      <c r="D20" s="19" t="s">
        <v>10</v>
      </c>
      <c r="E20" s="20">
        <v>63</v>
      </c>
      <c r="F20" s="21"/>
      <c r="G20" s="22">
        <f t="shared" ref="G20" si="1">ROUND(F20*E20,2)</f>
        <v>0</v>
      </c>
    </row>
    <row r="21" spans="1:13" ht="50.25" customHeight="1">
      <c r="A21" s="17" t="s">
        <v>64</v>
      </c>
      <c r="B21" s="24" t="s">
        <v>52</v>
      </c>
      <c r="C21" s="18" t="s">
        <v>246</v>
      </c>
      <c r="D21" s="19" t="s">
        <v>10</v>
      </c>
      <c r="E21" s="20">
        <v>63</v>
      </c>
      <c r="F21" s="21"/>
      <c r="G21" s="22">
        <f>ROUND(F21*E21,2)</f>
        <v>0</v>
      </c>
    </row>
    <row r="22" spans="1:13" s="60" customFormat="1" ht="42.75" customHeight="1">
      <c r="A22" s="17" t="s">
        <v>73</v>
      </c>
      <c r="B22" s="55" t="s">
        <v>43</v>
      </c>
      <c r="C22" s="55" t="s">
        <v>257</v>
      </c>
      <c r="D22" s="56" t="s">
        <v>42</v>
      </c>
      <c r="E22" s="57">
        <v>217</v>
      </c>
      <c r="F22" s="58"/>
      <c r="G22" s="59">
        <f t="shared" ref="G22" si="2">ROUND(F22*E22,2)</f>
        <v>0</v>
      </c>
      <c r="K22" s="61"/>
      <c r="L22" s="61"/>
      <c r="M22" s="61"/>
    </row>
    <row r="23" spans="1:13" ht="54" customHeight="1">
      <c r="A23" s="17" t="s">
        <v>382</v>
      </c>
      <c r="B23" s="24" t="s">
        <v>76</v>
      </c>
      <c r="C23" s="18" t="s">
        <v>247</v>
      </c>
      <c r="D23" s="19" t="s">
        <v>10</v>
      </c>
      <c r="E23" s="20">
        <f>+E20</f>
        <v>63</v>
      </c>
      <c r="F23" s="21"/>
      <c r="G23" s="22">
        <f>ROUND(F23*E23,2)</f>
        <v>0</v>
      </c>
    </row>
    <row r="24" spans="1:13">
      <c r="A24" s="115" t="s">
        <v>84</v>
      </c>
      <c r="B24" s="113"/>
      <c r="C24" s="113"/>
      <c r="D24" s="113"/>
      <c r="E24" s="113"/>
      <c r="F24" s="116"/>
      <c r="G24" s="23">
        <f>SUM(G20:G23)</f>
        <v>0</v>
      </c>
    </row>
    <row r="25" spans="1:13" s="1" customFormat="1">
      <c r="A25" s="15">
        <v>4</v>
      </c>
      <c r="B25" s="16"/>
      <c r="C25" s="112" t="s">
        <v>12</v>
      </c>
      <c r="D25" s="113"/>
      <c r="E25" s="113"/>
      <c r="F25" s="113"/>
      <c r="G25" s="114"/>
      <c r="I25" s="3"/>
      <c r="J25" s="3"/>
    </row>
    <row r="26" spans="1:13" s="1" customFormat="1" ht="46.5" customHeight="1">
      <c r="A26" s="17" t="s">
        <v>71</v>
      </c>
      <c r="B26" s="18" t="s">
        <v>81</v>
      </c>
      <c r="C26" s="18" t="s">
        <v>249</v>
      </c>
      <c r="D26" s="19" t="s">
        <v>14</v>
      </c>
      <c r="E26" s="20">
        <v>100.4</v>
      </c>
      <c r="F26" s="21"/>
      <c r="G26" s="22">
        <f>ROUND(F26*E26,2)</f>
        <v>0</v>
      </c>
      <c r="I26" s="3"/>
      <c r="J26" s="3"/>
    </row>
    <row r="27" spans="1:13" ht="33">
      <c r="A27" s="17" t="s">
        <v>74</v>
      </c>
      <c r="B27" s="18" t="s">
        <v>15</v>
      </c>
      <c r="C27" s="18" t="s">
        <v>248</v>
      </c>
      <c r="D27" s="19" t="s">
        <v>10</v>
      </c>
      <c r="E27" s="20">
        <v>63</v>
      </c>
      <c r="F27" s="21"/>
      <c r="G27" s="22">
        <f>ROUND(F27*E27,2)</f>
        <v>0</v>
      </c>
    </row>
    <row r="28" spans="1:13" s="1" customFormat="1" ht="49.5">
      <c r="A28" s="17" t="s">
        <v>82</v>
      </c>
      <c r="B28" s="18" t="s">
        <v>50</v>
      </c>
      <c r="C28" s="18" t="s">
        <v>250</v>
      </c>
      <c r="D28" s="19" t="s">
        <v>10</v>
      </c>
      <c r="E28" s="20">
        <v>1397</v>
      </c>
      <c r="F28" s="21"/>
      <c r="G28" s="22">
        <f>ROUND(F28*E28,2)</f>
        <v>0</v>
      </c>
      <c r="I28" s="3"/>
      <c r="J28" s="3"/>
    </row>
    <row r="29" spans="1:13" s="1" customFormat="1">
      <c r="A29" s="115" t="s">
        <v>16</v>
      </c>
      <c r="B29" s="113"/>
      <c r="C29" s="113"/>
      <c r="D29" s="113"/>
      <c r="E29" s="113"/>
      <c r="F29" s="116"/>
      <c r="G29" s="23">
        <f>SUM(G26:G28)</f>
        <v>0</v>
      </c>
      <c r="I29" s="3"/>
      <c r="J29" s="3"/>
    </row>
    <row r="30" spans="1:13">
      <c r="A30" s="15">
        <v>5</v>
      </c>
      <c r="B30" s="16"/>
      <c r="C30" s="112" t="s">
        <v>45</v>
      </c>
      <c r="D30" s="113"/>
      <c r="E30" s="113"/>
      <c r="F30" s="113"/>
      <c r="G30" s="114"/>
      <c r="I30" s="2"/>
    </row>
    <row r="31" spans="1:13" s="74" customFormat="1" ht="33.75" customHeight="1">
      <c r="A31" s="52" t="s">
        <v>79</v>
      </c>
      <c r="B31" s="62" t="s">
        <v>52</v>
      </c>
      <c r="C31" s="67" t="s">
        <v>254</v>
      </c>
      <c r="D31" s="68" t="s">
        <v>10</v>
      </c>
      <c r="E31" s="69">
        <v>502</v>
      </c>
      <c r="F31" s="70"/>
      <c r="G31" s="71">
        <f>ROUND(F31*E31,2)</f>
        <v>0</v>
      </c>
      <c r="H31" s="72"/>
      <c r="I31" s="73"/>
    </row>
    <row r="32" spans="1:13" s="79" customFormat="1" ht="25.5">
      <c r="A32" s="52" t="s">
        <v>383</v>
      </c>
      <c r="B32" s="75" t="s">
        <v>43</v>
      </c>
      <c r="C32" s="75" t="s">
        <v>258</v>
      </c>
      <c r="D32" s="76" t="s">
        <v>42</v>
      </c>
      <c r="E32" s="76">
        <v>300</v>
      </c>
      <c r="F32" s="77"/>
      <c r="G32" s="78">
        <f t="shared" ref="G32:G33" si="3">ROUND(F32*E32,2)</f>
        <v>0</v>
      </c>
      <c r="K32" s="80"/>
      <c r="L32" s="80"/>
      <c r="M32" s="80"/>
    </row>
    <row r="33" spans="1:13" s="79" customFormat="1" ht="25.5">
      <c r="A33" s="52" t="s">
        <v>370</v>
      </c>
      <c r="B33" s="75" t="s">
        <v>44</v>
      </c>
      <c r="C33" s="62" t="s">
        <v>255</v>
      </c>
      <c r="D33" s="63" t="s">
        <v>11</v>
      </c>
      <c r="E33" s="64">
        <v>6.6</v>
      </c>
      <c r="F33" s="65"/>
      <c r="G33" s="66">
        <f t="shared" si="3"/>
        <v>0</v>
      </c>
      <c r="K33" s="80"/>
      <c r="L33" s="80"/>
      <c r="M33" s="80"/>
    </row>
    <row r="34" spans="1:13" s="79" customFormat="1" ht="25.5">
      <c r="A34" s="52" t="s">
        <v>384</v>
      </c>
      <c r="B34" s="75" t="s">
        <v>47</v>
      </c>
      <c r="C34" s="75" t="s">
        <v>48</v>
      </c>
      <c r="D34" s="76" t="s">
        <v>10</v>
      </c>
      <c r="E34" s="76">
        <f>502-38</f>
        <v>464</v>
      </c>
      <c r="F34" s="77"/>
      <c r="G34" s="78">
        <f>ROUND(F34*E34,2)</f>
        <v>0</v>
      </c>
      <c r="K34" s="80"/>
      <c r="L34" s="80"/>
      <c r="M34" s="80"/>
    </row>
    <row r="35" spans="1:13" s="74" customFormat="1" ht="36.75" customHeight="1">
      <c r="A35" s="52" t="s">
        <v>385</v>
      </c>
      <c r="B35" s="75" t="s">
        <v>49</v>
      </c>
      <c r="C35" s="75" t="s">
        <v>256</v>
      </c>
      <c r="D35" s="76" t="s">
        <v>10</v>
      </c>
      <c r="E35" s="76">
        <v>38</v>
      </c>
      <c r="F35" s="77"/>
      <c r="G35" s="78">
        <f>ROUND(F35*E35,2)</f>
        <v>0</v>
      </c>
      <c r="H35" s="72"/>
      <c r="I35" s="73"/>
    </row>
    <row r="36" spans="1:13">
      <c r="A36" s="115" t="s">
        <v>46</v>
      </c>
      <c r="B36" s="113"/>
      <c r="C36" s="113"/>
      <c r="D36" s="113"/>
      <c r="E36" s="113"/>
      <c r="F36" s="116"/>
      <c r="G36" s="23">
        <f>SUM(G31:G35)</f>
        <v>0</v>
      </c>
      <c r="I36" s="2"/>
    </row>
    <row r="37" spans="1:13" s="1" customFormat="1">
      <c r="A37" s="15">
        <v>6</v>
      </c>
      <c r="B37" s="16"/>
      <c r="C37" s="112" t="s">
        <v>112</v>
      </c>
      <c r="D37" s="113"/>
      <c r="E37" s="113"/>
      <c r="F37" s="113"/>
      <c r="G37" s="114"/>
      <c r="I37" s="3"/>
      <c r="J37" s="3"/>
    </row>
    <row r="38" spans="1:13" s="1" customFormat="1" ht="50.25" customHeight="1">
      <c r="A38" s="17" t="s">
        <v>372</v>
      </c>
      <c r="B38" s="96" t="s">
        <v>75</v>
      </c>
      <c r="C38" s="18" t="s">
        <v>251</v>
      </c>
      <c r="D38" s="19" t="s">
        <v>37</v>
      </c>
      <c r="E38" s="20">
        <v>277</v>
      </c>
      <c r="F38" s="21"/>
      <c r="G38" s="22">
        <f>ROUND(F38*E38,2)</f>
        <v>0</v>
      </c>
      <c r="I38" s="3"/>
      <c r="J38" s="3"/>
    </row>
    <row r="39" spans="1:13" s="1" customFormat="1" ht="20.25" customHeight="1">
      <c r="A39" s="117" t="s">
        <v>119</v>
      </c>
      <c r="B39" s="118"/>
      <c r="C39" s="118"/>
      <c r="D39" s="118"/>
      <c r="E39" s="118"/>
      <c r="F39" s="119"/>
      <c r="G39" s="25">
        <f>SUM(G38:G38)</f>
        <v>0</v>
      </c>
      <c r="I39" s="3"/>
      <c r="J39" s="3"/>
    </row>
    <row r="40" spans="1:13" s="1" customFormat="1">
      <c r="A40" s="15">
        <v>7</v>
      </c>
      <c r="B40" s="16"/>
      <c r="C40" s="112" t="s">
        <v>118</v>
      </c>
      <c r="D40" s="113"/>
      <c r="E40" s="113"/>
      <c r="F40" s="113"/>
      <c r="G40" s="114"/>
      <c r="I40" s="3"/>
      <c r="J40" s="3"/>
    </row>
    <row r="41" spans="1:13" s="1" customFormat="1" ht="54.75" customHeight="1">
      <c r="A41" s="17" t="s">
        <v>376</v>
      </c>
      <c r="B41" s="96" t="s">
        <v>75</v>
      </c>
      <c r="C41" s="18" t="s">
        <v>252</v>
      </c>
      <c r="D41" s="19" t="s">
        <v>37</v>
      </c>
      <c r="E41" s="20">
        <v>24</v>
      </c>
      <c r="F41" s="21"/>
      <c r="G41" s="22">
        <f>ROUND(F41*E41,2)</f>
        <v>0</v>
      </c>
      <c r="I41" s="3"/>
      <c r="J41" s="3"/>
    </row>
    <row r="42" spans="1:13" s="1" customFormat="1" ht="75" customHeight="1">
      <c r="A42" s="17" t="s">
        <v>377</v>
      </c>
      <c r="B42" s="96" t="s">
        <v>75</v>
      </c>
      <c r="C42" s="18" t="s">
        <v>253</v>
      </c>
      <c r="D42" s="19" t="s">
        <v>68</v>
      </c>
      <c r="E42" s="20">
        <v>4</v>
      </c>
      <c r="F42" s="21"/>
      <c r="G42" s="22">
        <f>ROUND(F42*E42,2)</f>
        <v>0</v>
      </c>
      <c r="I42" s="3"/>
      <c r="J42" s="3"/>
    </row>
    <row r="43" spans="1:13" s="1" customFormat="1" ht="20.25" customHeight="1">
      <c r="A43" s="117" t="s">
        <v>120</v>
      </c>
      <c r="B43" s="118"/>
      <c r="C43" s="118"/>
      <c r="D43" s="118"/>
      <c r="E43" s="118"/>
      <c r="F43" s="119"/>
      <c r="G43" s="25">
        <f>SUM(G41:G42)</f>
        <v>0</v>
      </c>
      <c r="I43" s="3"/>
      <c r="J43" s="3"/>
    </row>
    <row r="44" spans="1:13" s="1" customFormat="1">
      <c r="A44" s="15">
        <v>8</v>
      </c>
      <c r="B44" s="16"/>
      <c r="C44" s="112" t="s">
        <v>17</v>
      </c>
      <c r="D44" s="113"/>
      <c r="E44" s="113"/>
      <c r="F44" s="113"/>
      <c r="G44" s="114"/>
      <c r="I44" s="3"/>
      <c r="J44" s="3"/>
    </row>
    <row r="45" spans="1:13" s="1" customFormat="1" ht="50.25" customHeight="1">
      <c r="A45" s="17" t="s">
        <v>386</v>
      </c>
      <c r="B45" s="18" t="s">
        <v>52</v>
      </c>
      <c r="C45" s="18" t="s">
        <v>333</v>
      </c>
      <c r="D45" s="19" t="s">
        <v>37</v>
      </c>
      <c r="E45" s="20">
        <v>246</v>
      </c>
      <c r="F45" s="21"/>
      <c r="G45" s="22">
        <f>ROUND(F45*E45,2)</f>
        <v>0</v>
      </c>
      <c r="I45" s="3"/>
      <c r="J45" s="3"/>
    </row>
    <row r="46" spans="1:13" s="1" customFormat="1" ht="50.25" customHeight="1">
      <c r="A46" s="17" t="s">
        <v>387</v>
      </c>
      <c r="B46" s="18" t="s">
        <v>52</v>
      </c>
      <c r="C46" s="18" t="s">
        <v>259</v>
      </c>
      <c r="D46" s="19" t="s">
        <v>37</v>
      </c>
      <c r="E46" s="20">
        <v>1450</v>
      </c>
      <c r="F46" s="21"/>
      <c r="G46" s="22">
        <f>ROUND(F46*E46,2)</f>
        <v>0</v>
      </c>
      <c r="I46" s="3"/>
      <c r="J46" s="3"/>
    </row>
    <row r="47" spans="1:13" ht="33" customHeight="1">
      <c r="A47" s="17" t="s">
        <v>388</v>
      </c>
      <c r="B47" s="96" t="s">
        <v>75</v>
      </c>
      <c r="C47" s="18" t="s">
        <v>260</v>
      </c>
      <c r="D47" s="19" t="s">
        <v>37</v>
      </c>
      <c r="E47" s="20">
        <v>80</v>
      </c>
      <c r="F47" s="21"/>
      <c r="G47" s="22">
        <f t="shared" ref="G47" si="4">ROUND(F47*E47,2)</f>
        <v>0</v>
      </c>
    </row>
    <row r="48" spans="1:13" ht="36.75" customHeight="1">
      <c r="A48" s="17" t="s">
        <v>389</v>
      </c>
      <c r="B48" s="18" t="s">
        <v>66</v>
      </c>
      <c r="C48" s="18" t="s">
        <v>67</v>
      </c>
      <c r="D48" s="19" t="s">
        <v>68</v>
      </c>
      <c r="E48" s="20">
        <v>8</v>
      </c>
      <c r="F48" s="21"/>
      <c r="G48" s="22">
        <f>ROUND(F48*E48,2)</f>
        <v>0</v>
      </c>
    </row>
    <row r="49" spans="1:10" ht="36.75" customHeight="1">
      <c r="A49" s="17" t="s">
        <v>390</v>
      </c>
      <c r="B49" s="18" t="s">
        <v>70</v>
      </c>
      <c r="C49" s="18" t="s">
        <v>261</v>
      </c>
      <c r="D49" s="19" t="s">
        <v>68</v>
      </c>
      <c r="E49" s="20">
        <v>10</v>
      </c>
      <c r="F49" s="21"/>
      <c r="G49" s="22">
        <f>ROUND(F49*E49,2)</f>
        <v>0</v>
      </c>
    </row>
    <row r="50" spans="1:10" ht="17.25" thickBot="1">
      <c r="A50" s="117" t="s">
        <v>19</v>
      </c>
      <c r="B50" s="118"/>
      <c r="C50" s="118"/>
      <c r="D50" s="118"/>
      <c r="E50" s="118"/>
      <c r="F50" s="119"/>
      <c r="G50" s="25">
        <f>SUM(G45:G49)</f>
        <v>0</v>
      </c>
    </row>
    <row r="51" spans="1:10" s="26" customFormat="1" ht="34.5" customHeight="1" thickTop="1">
      <c r="A51" s="120" t="s">
        <v>20</v>
      </c>
      <c r="B51" s="121"/>
      <c r="C51" s="121"/>
      <c r="D51" s="121"/>
      <c r="E51" s="121"/>
      <c r="F51" s="122">
        <f>+G50+G43+G39+G36+G29+G24+G18+G11</f>
        <v>0</v>
      </c>
      <c r="G51" s="123"/>
      <c r="H51" s="1"/>
    </row>
    <row r="52" spans="1:10">
      <c r="A52" s="124" t="s">
        <v>21</v>
      </c>
      <c r="B52" s="125"/>
      <c r="C52" s="125"/>
      <c r="D52" s="125"/>
      <c r="E52" s="126"/>
      <c r="F52" s="127">
        <f>ROUND(F51*0.23,2)</f>
        <v>0</v>
      </c>
      <c r="G52" s="128"/>
    </row>
    <row r="53" spans="1:10" ht="42" customHeight="1" thickBot="1">
      <c r="A53" s="107" t="s">
        <v>404</v>
      </c>
      <c r="B53" s="108"/>
      <c r="C53" s="108"/>
      <c r="D53" s="108"/>
      <c r="E53" s="108"/>
      <c r="F53" s="109">
        <f>+F52+F51</f>
        <v>0</v>
      </c>
      <c r="G53" s="110"/>
    </row>
    <row r="54" spans="1:10" ht="17.25" thickTop="1"/>
    <row r="55" spans="1:10">
      <c r="C55" s="1"/>
      <c r="G55" s="1">
        <f>+F53</f>
        <v>0</v>
      </c>
    </row>
    <row r="56" spans="1:10" s="1" customFormat="1">
      <c r="A56" s="3"/>
      <c r="B56" s="3"/>
      <c r="C56" s="3"/>
      <c r="D56" s="27"/>
      <c r="E56" s="111">
        <f>+G55/0.231</f>
        <v>0</v>
      </c>
      <c r="F56" s="111"/>
      <c r="G56" s="1" t="s">
        <v>98</v>
      </c>
      <c r="I56" s="3"/>
      <c r="J56" s="3"/>
    </row>
  </sheetData>
  <mergeCells count="26">
    <mergeCell ref="A52:E52"/>
    <mergeCell ref="F52:G52"/>
    <mergeCell ref="A53:E53"/>
    <mergeCell ref="F53:G53"/>
    <mergeCell ref="E56:F56"/>
    <mergeCell ref="C44:G44"/>
    <mergeCell ref="A50:F50"/>
    <mergeCell ref="A51:E51"/>
    <mergeCell ref="F51:G51"/>
    <mergeCell ref="A18:F18"/>
    <mergeCell ref="C19:G19"/>
    <mergeCell ref="A24:F24"/>
    <mergeCell ref="C25:G25"/>
    <mergeCell ref="A29:F29"/>
    <mergeCell ref="C37:G37"/>
    <mergeCell ref="C30:G30"/>
    <mergeCell ref="A36:F36"/>
    <mergeCell ref="A39:F39"/>
    <mergeCell ref="C40:G40"/>
    <mergeCell ref="A43:F43"/>
    <mergeCell ref="C12:G12"/>
    <mergeCell ref="A1:G1"/>
    <mergeCell ref="A2:G2"/>
    <mergeCell ref="A3:G3"/>
    <mergeCell ref="C6:G6"/>
    <mergeCell ref="A11:F11"/>
  </mergeCells>
  <pageMargins left="0.98425196850393704" right="0.39370078740157483" top="0.39370078740157483" bottom="0.39370078740157483" header="0.35433070866141736" footer="0.51181102362204722"/>
  <pageSetup paperSize="9" scale="8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27</vt:i4>
      </vt:variant>
    </vt:vector>
  </HeadingPairs>
  <TitlesOfParts>
    <vt:vector size="41" baseType="lpstr">
      <vt:lpstr>ZBIORÓWKA</vt:lpstr>
      <vt:lpstr>zad nr 01 Stary Dzików do oczys</vt:lpstr>
      <vt:lpstr>zad nr 02 Nowy Dzików przez wie</vt:lpstr>
      <vt:lpstr>zad nr 03 Cewków - Kąt Północny</vt:lpstr>
      <vt:lpstr>zad nr 04 Cewków - Ogrody</vt:lpstr>
      <vt:lpstr>zad nr 05 Ułazów - Parachówka</vt:lpstr>
      <vt:lpstr>zad nr 06 Ułazów - Obsza etap I</vt:lpstr>
      <vt:lpstr>zad nr 07 St Dzików Sobieskiego</vt:lpstr>
      <vt:lpstr>zad nr 08 St Dzików k cmentarza</vt:lpstr>
      <vt:lpstr>zad nr 09 Moszczanica do Kantor</vt:lpstr>
      <vt:lpstr>zad nr 10 Moszczanica do Pokryw</vt:lpstr>
      <vt:lpstr>zad nr 11 Stary Dzików ul Szafe</vt:lpstr>
      <vt:lpstr>zad nr 12 Stary Dzików Koprenik</vt:lpstr>
      <vt:lpstr>zad nr 13 N Dzików - Ulazów</vt:lpstr>
      <vt:lpstr>'zad nr 01 Stary Dzików do oczys'!Obszar_wydruku</vt:lpstr>
      <vt:lpstr>'zad nr 02 Nowy Dzików przez wie'!Obszar_wydruku</vt:lpstr>
      <vt:lpstr>'zad nr 03 Cewków - Kąt Północny'!Obszar_wydruku</vt:lpstr>
      <vt:lpstr>'zad nr 04 Cewków - Ogrody'!Obszar_wydruku</vt:lpstr>
      <vt:lpstr>'zad nr 05 Ułazów - Parachówka'!Obszar_wydruku</vt:lpstr>
      <vt:lpstr>'zad nr 06 Ułazów - Obsza etap I'!Obszar_wydruku</vt:lpstr>
      <vt:lpstr>'zad nr 07 St Dzików Sobieskiego'!Obszar_wydruku</vt:lpstr>
      <vt:lpstr>'zad nr 08 St Dzików k cmentarza'!Obszar_wydruku</vt:lpstr>
      <vt:lpstr>'zad nr 09 Moszczanica do Kantor'!Obszar_wydruku</vt:lpstr>
      <vt:lpstr>'zad nr 10 Moszczanica do Pokryw'!Obszar_wydruku</vt:lpstr>
      <vt:lpstr>'zad nr 11 Stary Dzików ul Szafe'!Obszar_wydruku</vt:lpstr>
      <vt:lpstr>'zad nr 12 Stary Dzików Koprenik'!Obszar_wydruku</vt:lpstr>
      <vt:lpstr>'zad nr 13 N Dzików - Ulazów'!Obszar_wydruku</vt:lpstr>
      <vt:lpstr>ZBIORÓWKA!Obszar_wydruku</vt:lpstr>
      <vt:lpstr>'zad nr 01 Stary Dzików do oczys'!Tytuły_wydruku</vt:lpstr>
      <vt:lpstr>'zad nr 02 Nowy Dzików przez wie'!Tytuły_wydruku</vt:lpstr>
      <vt:lpstr>'zad nr 03 Cewków - Kąt Północny'!Tytuły_wydruku</vt:lpstr>
      <vt:lpstr>'zad nr 04 Cewków - Ogrody'!Tytuły_wydruku</vt:lpstr>
      <vt:lpstr>'zad nr 05 Ułazów - Parachówka'!Tytuły_wydruku</vt:lpstr>
      <vt:lpstr>'zad nr 06 Ułazów - Obsza etap I'!Tytuły_wydruku</vt:lpstr>
      <vt:lpstr>'zad nr 07 St Dzików Sobieskiego'!Tytuły_wydruku</vt:lpstr>
      <vt:lpstr>'zad nr 08 St Dzików k cmentarza'!Tytuły_wydruku</vt:lpstr>
      <vt:lpstr>'zad nr 09 Moszczanica do Kantor'!Tytuły_wydruku</vt:lpstr>
      <vt:lpstr>'zad nr 10 Moszczanica do Pokryw'!Tytuły_wydruku</vt:lpstr>
      <vt:lpstr>'zad nr 11 Stary Dzików ul Szafe'!Tytuły_wydruku</vt:lpstr>
      <vt:lpstr>'zad nr 12 Stary Dzików Koprenik'!Tytuły_wydruku</vt:lpstr>
      <vt:lpstr>'zad nr 13 N Dzików - Ulazów'!Tytuły_wydruku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Wacław</dc:creator>
  <cp:lastModifiedBy>Wacław Zarembski</cp:lastModifiedBy>
  <cp:lastPrinted>2022-05-05T13:29:44Z</cp:lastPrinted>
  <dcterms:created xsi:type="dcterms:W3CDTF">2019-04-25T17:40:48Z</dcterms:created>
  <dcterms:modified xsi:type="dcterms:W3CDTF">2022-06-17T09:02:10Z</dcterms:modified>
</cp:coreProperties>
</file>