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75773089-AC00-473C-8CF2-296793833CE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Arkusz1!$A$3:$L$61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1" l="1"/>
  <c r="L66" i="1" s="1"/>
  <c r="G53" i="1" l="1"/>
  <c r="G47" i="1" l="1"/>
  <c r="H62" i="1" l="1"/>
  <c r="D63" i="1"/>
  <c r="H58" i="1"/>
  <c r="E58" i="1"/>
  <c r="J57" i="1"/>
  <c r="J56" i="1"/>
  <c r="J55" i="1"/>
  <c r="H49" i="1"/>
  <c r="E49" i="1"/>
  <c r="I48" i="1"/>
  <c r="F48" i="1"/>
  <c r="E48" i="1"/>
  <c r="J42" i="1"/>
  <c r="J54" i="1"/>
  <c r="E54" i="1"/>
  <c r="J41" i="1"/>
  <c r="G37" i="1"/>
  <c r="G46" i="1"/>
  <c r="E46" i="1"/>
  <c r="J40" i="1" l="1"/>
  <c r="H45" i="1" l="1"/>
  <c r="K38" i="1"/>
  <c r="J39" i="1"/>
  <c r="E35" i="1"/>
  <c r="E36" i="1"/>
  <c r="H36" i="1"/>
  <c r="J34" i="1"/>
  <c r="G26" i="1"/>
  <c r="G25" i="1"/>
  <c r="G24" i="1"/>
  <c r="G23" i="1"/>
  <c r="J21" i="1"/>
  <c r="H20" i="1"/>
  <c r="E19" i="1"/>
  <c r="H17" i="1"/>
  <c r="E17" i="1"/>
  <c r="H16" i="1"/>
  <c r="E16" i="1"/>
  <c r="J15" i="1"/>
  <c r="H14" i="1"/>
  <c r="E14" i="1"/>
  <c r="J13" i="1"/>
  <c r="J5" i="1"/>
  <c r="J63" i="1" l="1"/>
  <c r="H9" i="1" l="1"/>
  <c r="H10" i="1"/>
  <c r="E9" i="1"/>
  <c r="E10" i="1"/>
  <c r="H46" i="1" l="1"/>
  <c r="H51" i="1"/>
  <c r="G51" i="1"/>
  <c r="E51" i="1"/>
  <c r="I59" i="1" l="1"/>
  <c r="H59" i="1"/>
  <c r="F59" i="1"/>
  <c r="E59" i="1"/>
  <c r="I60" i="1"/>
  <c r="H60" i="1"/>
  <c r="F60" i="1"/>
  <c r="E60" i="1"/>
  <c r="H61" i="1"/>
  <c r="I61" i="1"/>
  <c r="F61" i="1"/>
  <c r="E61" i="1"/>
  <c r="E43" i="1"/>
  <c r="E57" i="1"/>
  <c r="E52" i="1"/>
  <c r="E50" i="1"/>
  <c r="H50" i="1"/>
  <c r="I47" i="1"/>
  <c r="H47" i="1"/>
  <c r="F47" i="1"/>
  <c r="E47" i="1"/>
  <c r="E45" i="1"/>
  <c r="H44" i="1"/>
  <c r="E44" i="1"/>
  <c r="I37" i="1"/>
  <c r="F37" i="1"/>
  <c r="H37" i="1"/>
  <c r="E37" i="1"/>
  <c r="E27" i="1"/>
  <c r="H28" i="1"/>
  <c r="E28" i="1"/>
  <c r="I29" i="1"/>
  <c r="F29" i="1"/>
  <c r="E29" i="1"/>
  <c r="H30" i="1"/>
  <c r="E30" i="1"/>
  <c r="I31" i="1"/>
  <c r="F31" i="1"/>
  <c r="G32" i="1"/>
  <c r="H31" i="1"/>
  <c r="E31" i="1"/>
  <c r="I32" i="1"/>
  <c r="H32" i="1"/>
  <c r="F32" i="1"/>
  <c r="E32" i="1"/>
  <c r="I33" i="1"/>
  <c r="H33" i="1"/>
  <c r="F33" i="1"/>
  <c r="E33" i="1" l="1"/>
  <c r="H12" i="1"/>
  <c r="E12" i="1"/>
  <c r="H22" i="1"/>
  <c r="E22" i="1"/>
  <c r="E20" i="1"/>
  <c r="H18" i="1"/>
  <c r="E18" i="1"/>
  <c r="E11" i="1"/>
  <c r="E8" i="1"/>
  <c r="E7" i="1"/>
  <c r="E6" i="1"/>
  <c r="E4" i="1"/>
  <c r="K63" i="1" l="1"/>
  <c r="I63" i="1"/>
  <c r="F63" i="1" l="1"/>
  <c r="G63" i="1"/>
  <c r="E63" i="1"/>
  <c r="H63" i="1"/>
  <c r="L67" i="1" l="1"/>
</calcChain>
</file>

<file path=xl/sharedStrings.xml><?xml version="1.0" encoding="utf-8"?>
<sst xmlns="http://schemas.openxmlformats.org/spreadsheetml/2006/main" count="150" uniqueCount="92">
  <si>
    <t>Lp.</t>
  </si>
  <si>
    <t>Lokalizacja</t>
  </si>
  <si>
    <t>SUMA:</t>
  </si>
  <si>
    <t>Uwagi</t>
  </si>
  <si>
    <t>P-10 [m2]</t>
  </si>
  <si>
    <t>P-11 [m2]</t>
  </si>
  <si>
    <t>P-12 [m2]</t>
  </si>
  <si>
    <t>P-14 [m2]</t>
  </si>
  <si>
    <t>P</t>
  </si>
  <si>
    <t>W</t>
  </si>
  <si>
    <t>G</t>
  </si>
  <si>
    <t>L=6m</t>
  </si>
  <si>
    <t>Mata czerwona [m2]</t>
  </si>
  <si>
    <t>Frezo-wanie [m2]</t>
  </si>
  <si>
    <t>Kate-goria drogi</t>
  </si>
  <si>
    <t>Tylko P-10</t>
  </si>
  <si>
    <t>Cena jednostk. [zł]</t>
  </si>
  <si>
    <t>Razem netto:</t>
  </si>
  <si>
    <t>VAT 23%:</t>
  </si>
  <si>
    <t>Razem brutto:</t>
  </si>
  <si>
    <t>Cienkowarstwowe</t>
  </si>
  <si>
    <t>Komuny Paryskiej OSP Moszczenica</t>
  </si>
  <si>
    <t>Wyzwolenia - Ranoszka</t>
  </si>
  <si>
    <t>Kasztanowa - Wyzwolenia</t>
  </si>
  <si>
    <t>Kasztanowa kościół</t>
  </si>
  <si>
    <t>Dworcowa - Zdrojowa</t>
  </si>
  <si>
    <t>Połomska - Ligonia</t>
  </si>
  <si>
    <t xml:space="preserve">Górnicza - Bogoczowiec </t>
  </si>
  <si>
    <t>11 Listopada - Prosta</t>
  </si>
  <si>
    <t>Pszczyńska - Wierzyńskiego</t>
  </si>
  <si>
    <t>8 pasków P-10</t>
  </si>
  <si>
    <t>Jana Pawła II - Jagiełły</t>
  </si>
  <si>
    <t>Jana Pawła II - Kusocińskiego</t>
  </si>
  <si>
    <t>Jana Pawła II - Leśna</t>
  </si>
  <si>
    <t>Jana Pawła II szpital wojewódzki</t>
  </si>
  <si>
    <t>Jana Pawła II - Prosta</t>
  </si>
  <si>
    <t>Jana Pawła II Netto</t>
  </si>
  <si>
    <t>Jana Pawła II Rondo Sikorskiego</t>
  </si>
  <si>
    <t>Jagiełły - Kusocińskiego</t>
  </si>
  <si>
    <t>Tylko wloty wschodni i północny</t>
  </si>
  <si>
    <t>Cieszyńska - Libowiec</t>
  </si>
  <si>
    <t>Piłsudskiego między Wlkp. a Wrocławską</t>
  </si>
  <si>
    <t>Piłsudskiego Domus</t>
  </si>
  <si>
    <t>Piłsudskiego - Mazowiecka - Warszawska</t>
  </si>
  <si>
    <t>Wersja skrócona wg rys. nr 1</t>
  </si>
  <si>
    <t>Piłsudskiego - Solidarności</t>
  </si>
  <si>
    <t>Rondo Porozumienia Jastrzębskiego</t>
  </si>
  <si>
    <t>Piłsudskiego Gwarek</t>
  </si>
  <si>
    <t>Piłsudskiego - Harcerska - Katowicka</t>
  </si>
  <si>
    <t>Wersja skrócona wg rys. nr 2</t>
  </si>
  <si>
    <t>Katowicka - Krakowska</t>
  </si>
  <si>
    <t>Szkolna od nr 20 do Granicznej</t>
  </si>
  <si>
    <t>Opolska Szkoła Podstawowa nr 19</t>
  </si>
  <si>
    <t>Piechoczka - Pszczyńska</t>
  </si>
  <si>
    <t>Wlot alei Piechoczka</t>
  </si>
  <si>
    <t>Pszczyńska - Niepodległości</t>
  </si>
  <si>
    <t>Pszczyńska - Orla</t>
  </si>
  <si>
    <t>P-14 na 3 wlotach</t>
  </si>
  <si>
    <t>Armii Krajowej WORD</t>
  </si>
  <si>
    <t>Armii Krajowej - Mickiewicza</t>
  </si>
  <si>
    <t>Zestawienie progów, przejść dla pieszych i przejazdów dla rowerów na drogach miejskich do wykonania w 2024 roku</t>
  </si>
  <si>
    <t>P-25 [m2]</t>
  </si>
  <si>
    <t>Rzeczna</t>
  </si>
  <si>
    <t>Liczba progów/ przejść [szt.]</t>
  </si>
  <si>
    <t>Bogoczowiec boisko Orlik</t>
  </si>
  <si>
    <t>PCK</t>
  </si>
  <si>
    <t>Gałczyńskiego</t>
  </si>
  <si>
    <t>Gagarina - Sławika</t>
  </si>
  <si>
    <t>Aleksandra Fredry</t>
  </si>
  <si>
    <t>Powstańców Śl. - Świerklańska</t>
  </si>
  <si>
    <t>3 Maja Lewiatan</t>
  </si>
  <si>
    <t>11 Listopada - Leśna</t>
  </si>
  <si>
    <t>11 Listopada - Dworcowa</t>
  </si>
  <si>
    <t>11 Listopada - Mazurowiec</t>
  </si>
  <si>
    <t xml:space="preserve">Heleny Marusarzówny </t>
  </si>
  <si>
    <t>Próg gumowy i płytowy z kostki</t>
  </si>
  <si>
    <t>Janusza Kusocińskiego</t>
  </si>
  <si>
    <t>Nie odnawiać P-14</t>
  </si>
  <si>
    <t>Astrów</t>
  </si>
  <si>
    <t xml:space="preserve">Próg gumowy </t>
  </si>
  <si>
    <t>Płonki szkoła</t>
  </si>
  <si>
    <t>Pomorska nr 14</t>
  </si>
  <si>
    <t>Wielkopolska</t>
  </si>
  <si>
    <t>Próg płytowy i wyniesione przejście</t>
  </si>
  <si>
    <t>Zielona Szkoła Podstawowa nr 10</t>
  </si>
  <si>
    <t>Turystyczna nr 1</t>
  </si>
  <si>
    <t>Turystyczna wyniesione przejścia</t>
  </si>
  <si>
    <t>Wrocławska nr 9</t>
  </si>
  <si>
    <t>Graniczna - Cicha</t>
  </si>
  <si>
    <t>Sybiraków parking przy dworcu</t>
  </si>
  <si>
    <t>Niepodległości przejazd kolejowy</t>
  </si>
  <si>
    <t>Pszczyńska - Grodzka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</si>
</sst>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3" applyNumberFormat="0" applyAlignment="0" applyProtection="0"/>
  </cellStyleXfs>
  <cellXfs count="20">
    <xf numFmtId="0" fontId="0" fillId="0" borderId="0" xfId="0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4" fillId="2" borderId="2" xfId="1" applyFont="1" applyBorder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0" fontId="6" fillId="2" borderId="3" xfId="2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2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tabSelected="1" zoomScale="145" zoomScaleNormal="145" workbookViewId="0">
      <selection activeCell="P62" sqref="P62"/>
    </sheetView>
  </sheetViews>
  <sheetFormatPr defaultRowHeight="15" x14ac:dyDescent="0.25"/>
  <cols>
    <col min="1" max="1" width="4.140625" bestFit="1" customWidth="1"/>
    <col min="2" max="2" width="37.7109375" bestFit="1" customWidth="1"/>
    <col min="3" max="3" width="6.5703125" style="3" bestFit="1" customWidth="1"/>
    <col min="4" max="4" width="8.28515625" style="3" customWidth="1"/>
    <col min="5" max="5" width="8.5703125" bestFit="1" customWidth="1"/>
    <col min="6" max="8" width="8.5703125" customWidth="1"/>
    <col min="9" max="9" width="9.7109375" bestFit="1" customWidth="1"/>
    <col min="10" max="11" width="8.5703125" customWidth="1"/>
    <col min="12" max="12" width="31.42578125" bestFit="1" customWidth="1"/>
  </cols>
  <sheetData>
    <row r="1" spans="1:12" x14ac:dyDescent="0.25">
      <c r="A1" s="19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25">
      <c r="B2" s="14" t="s">
        <v>20</v>
      </c>
    </row>
    <row r="3" spans="1:12" ht="75" x14ac:dyDescent="0.25">
      <c r="A3" s="7" t="s">
        <v>0</v>
      </c>
      <c r="B3" s="7" t="s">
        <v>1</v>
      </c>
      <c r="C3" s="8" t="s">
        <v>14</v>
      </c>
      <c r="D3" s="8" t="s">
        <v>63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12</v>
      </c>
      <c r="J3" s="8" t="s">
        <v>61</v>
      </c>
      <c r="K3" s="8" t="s">
        <v>13</v>
      </c>
      <c r="L3" s="9" t="s">
        <v>3</v>
      </c>
    </row>
    <row r="4" spans="1:12" x14ac:dyDescent="0.25">
      <c r="A4" s="10">
        <v>1</v>
      </c>
      <c r="B4" s="10" t="s">
        <v>21</v>
      </c>
      <c r="C4" s="11" t="s">
        <v>8</v>
      </c>
      <c r="D4" s="11">
        <v>1</v>
      </c>
      <c r="E4" s="12">
        <f>2*6</f>
        <v>12</v>
      </c>
      <c r="F4" s="13"/>
      <c r="G4" s="13"/>
      <c r="H4" s="13"/>
      <c r="I4" s="13"/>
      <c r="J4" s="13"/>
      <c r="K4" s="13"/>
      <c r="L4" s="10"/>
    </row>
    <row r="5" spans="1:12" x14ac:dyDescent="0.25">
      <c r="A5" s="10">
        <v>2</v>
      </c>
      <c r="B5" s="10" t="s">
        <v>62</v>
      </c>
      <c r="C5" s="11" t="s">
        <v>10</v>
      </c>
      <c r="D5" s="11">
        <v>1</v>
      </c>
      <c r="E5" s="13"/>
      <c r="F5" s="13"/>
      <c r="G5" s="13"/>
      <c r="H5" s="13"/>
      <c r="I5" s="13"/>
      <c r="J5" s="12">
        <f>ROUND(0.232*2*3.5,2)</f>
        <v>1.62</v>
      </c>
      <c r="K5" s="13"/>
      <c r="L5" s="10"/>
    </row>
    <row r="6" spans="1:12" x14ac:dyDescent="0.25">
      <c r="A6" s="10">
        <v>3</v>
      </c>
      <c r="B6" s="10" t="s">
        <v>22</v>
      </c>
      <c r="C6" s="11" t="s">
        <v>8</v>
      </c>
      <c r="D6" s="11">
        <v>1</v>
      </c>
      <c r="E6" s="12">
        <f>2*(7+6)+0.5*2.5</f>
        <v>27.25</v>
      </c>
      <c r="F6" s="13"/>
      <c r="G6" s="13"/>
      <c r="H6" s="13"/>
      <c r="I6" s="13"/>
      <c r="J6" s="13"/>
      <c r="K6" s="13"/>
      <c r="L6" s="10"/>
    </row>
    <row r="7" spans="1:12" x14ac:dyDescent="0.25">
      <c r="A7" s="10">
        <v>4</v>
      </c>
      <c r="B7" s="10" t="s">
        <v>23</v>
      </c>
      <c r="C7" s="11" t="s">
        <v>8</v>
      </c>
      <c r="D7" s="11">
        <v>1</v>
      </c>
      <c r="E7" s="12">
        <f>2*(6+5)+0.5*1.5</f>
        <v>22.75</v>
      </c>
      <c r="F7" s="13"/>
      <c r="G7" s="13"/>
      <c r="H7" s="13"/>
      <c r="I7" s="13"/>
      <c r="J7" s="13"/>
      <c r="K7" s="13"/>
      <c r="L7" s="10"/>
    </row>
    <row r="8" spans="1:12" x14ac:dyDescent="0.25">
      <c r="A8" s="10">
        <v>5</v>
      </c>
      <c r="B8" s="10" t="s">
        <v>24</v>
      </c>
      <c r="C8" s="11" t="s">
        <v>10</v>
      </c>
      <c r="D8" s="11">
        <v>1</v>
      </c>
      <c r="E8" s="12">
        <f>2*6</f>
        <v>12</v>
      </c>
      <c r="F8" s="13"/>
      <c r="G8" s="13"/>
      <c r="H8" s="13"/>
      <c r="I8" s="13"/>
      <c r="J8" s="13"/>
      <c r="K8" s="13"/>
      <c r="L8" s="10"/>
    </row>
    <row r="9" spans="1:12" x14ac:dyDescent="0.25">
      <c r="A9" s="10">
        <v>6</v>
      </c>
      <c r="B9" s="10" t="s">
        <v>58</v>
      </c>
      <c r="C9" s="11" t="s">
        <v>8</v>
      </c>
      <c r="D9" s="11">
        <v>1</v>
      </c>
      <c r="E9" s="12">
        <f>2*7</f>
        <v>14</v>
      </c>
      <c r="F9" s="13"/>
      <c r="G9" s="13"/>
      <c r="H9" s="12">
        <f>ROUND(0.5*0.75*6,2)</f>
        <v>2.25</v>
      </c>
      <c r="I9" s="13"/>
      <c r="J9" s="13"/>
      <c r="K9" s="13"/>
      <c r="L9" s="10"/>
    </row>
    <row r="10" spans="1:12" x14ac:dyDescent="0.25">
      <c r="A10" s="10">
        <v>7</v>
      </c>
      <c r="B10" s="10" t="s">
        <v>59</v>
      </c>
      <c r="C10" s="11" t="s">
        <v>8</v>
      </c>
      <c r="D10" s="11">
        <v>1</v>
      </c>
      <c r="E10" s="12">
        <f>2*7</f>
        <v>14</v>
      </c>
      <c r="F10" s="13"/>
      <c r="G10" s="13"/>
      <c r="H10" s="12">
        <f>ROUND(0.5*0.75*6,2)</f>
        <v>2.25</v>
      </c>
      <c r="I10" s="13"/>
      <c r="J10" s="13"/>
      <c r="K10" s="13"/>
      <c r="L10" s="10"/>
    </row>
    <row r="11" spans="1:12" x14ac:dyDescent="0.25">
      <c r="A11" s="10">
        <v>8</v>
      </c>
      <c r="B11" s="10" t="s">
        <v>25</v>
      </c>
      <c r="C11" s="11" t="s">
        <v>10</v>
      </c>
      <c r="D11" s="11">
        <v>1</v>
      </c>
      <c r="E11" s="12">
        <f>2*6</f>
        <v>12</v>
      </c>
      <c r="F11" s="13"/>
      <c r="G11" s="13"/>
      <c r="H11" s="13"/>
      <c r="I11" s="13"/>
      <c r="J11" s="13"/>
      <c r="K11" s="13"/>
      <c r="L11" s="10"/>
    </row>
    <row r="12" spans="1:12" x14ac:dyDescent="0.25">
      <c r="A12" s="10">
        <v>9</v>
      </c>
      <c r="B12" s="10" t="s">
        <v>29</v>
      </c>
      <c r="C12" s="11" t="s">
        <v>8</v>
      </c>
      <c r="D12" s="11">
        <v>1</v>
      </c>
      <c r="E12" s="12">
        <f>2*8</f>
        <v>16</v>
      </c>
      <c r="F12" s="13"/>
      <c r="G12" s="13"/>
      <c r="H12" s="12">
        <f>ROUND(0.5*0.75*7,2)</f>
        <v>2.63</v>
      </c>
      <c r="I12" s="13"/>
      <c r="J12" s="13"/>
      <c r="K12" s="13"/>
      <c r="L12" s="10" t="s">
        <v>30</v>
      </c>
    </row>
    <row r="13" spans="1:12" x14ac:dyDescent="0.25">
      <c r="A13" s="10">
        <v>10</v>
      </c>
      <c r="B13" s="10" t="s">
        <v>66</v>
      </c>
      <c r="C13" s="11" t="s">
        <v>10</v>
      </c>
      <c r="D13" s="11">
        <v>2</v>
      </c>
      <c r="E13" s="13"/>
      <c r="F13" s="13"/>
      <c r="G13" s="13"/>
      <c r="H13" s="13"/>
      <c r="I13" s="13"/>
      <c r="J13" s="12">
        <f>ROUND(0.232*(2*5.5+2*5.7),2)</f>
        <v>5.2</v>
      </c>
      <c r="K13" s="13"/>
      <c r="L13" s="10"/>
    </row>
    <row r="14" spans="1:12" x14ac:dyDescent="0.25">
      <c r="A14" s="10">
        <v>11</v>
      </c>
      <c r="B14" s="10" t="s">
        <v>67</v>
      </c>
      <c r="C14" s="11" t="s">
        <v>8</v>
      </c>
      <c r="D14" s="11">
        <v>1</v>
      </c>
      <c r="E14" s="12">
        <f>2*6</f>
        <v>12</v>
      </c>
      <c r="F14" s="13"/>
      <c r="G14" s="13"/>
      <c r="H14" s="12">
        <f>ROUND(0.5*0.75*6,2)</f>
        <v>2.25</v>
      </c>
      <c r="I14" s="13"/>
      <c r="J14" s="13"/>
      <c r="K14" s="13"/>
      <c r="L14" s="10"/>
    </row>
    <row r="15" spans="1:12" x14ac:dyDescent="0.25">
      <c r="A15" s="10">
        <v>12</v>
      </c>
      <c r="B15" s="10" t="s">
        <v>68</v>
      </c>
      <c r="C15" s="11" t="s">
        <v>10</v>
      </c>
      <c r="D15" s="11">
        <v>2</v>
      </c>
      <c r="E15" s="13"/>
      <c r="F15" s="13"/>
      <c r="G15" s="13"/>
      <c r="H15" s="13"/>
      <c r="I15" s="13"/>
      <c r="J15" s="12">
        <f>ROUND(0.232*4*3.8,2)</f>
        <v>3.53</v>
      </c>
      <c r="K15" s="13"/>
      <c r="L15" s="10"/>
    </row>
    <row r="16" spans="1:12" x14ac:dyDescent="0.25">
      <c r="A16" s="10">
        <v>13</v>
      </c>
      <c r="B16" s="10" t="s">
        <v>69</v>
      </c>
      <c r="C16" s="11" t="s">
        <v>8</v>
      </c>
      <c r="D16" s="11">
        <v>1</v>
      </c>
      <c r="E16" s="12">
        <f>2*6</f>
        <v>12</v>
      </c>
      <c r="F16" s="13"/>
      <c r="G16" s="13"/>
      <c r="H16" s="12">
        <f>ROUND(0.5*0.75*6,2)</f>
        <v>2.25</v>
      </c>
      <c r="I16" s="13"/>
      <c r="J16" s="13"/>
      <c r="K16" s="13"/>
      <c r="L16" s="10"/>
    </row>
    <row r="17" spans="1:12" x14ac:dyDescent="0.25">
      <c r="A17" s="10">
        <v>14</v>
      </c>
      <c r="B17" s="10" t="s">
        <v>70</v>
      </c>
      <c r="C17" s="11" t="s">
        <v>8</v>
      </c>
      <c r="D17" s="11">
        <v>1</v>
      </c>
      <c r="E17" s="12">
        <f>2*6</f>
        <v>12</v>
      </c>
      <c r="F17" s="13"/>
      <c r="G17" s="13"/>
      <c r="H17" s="12">
        <f>ROUND(0.5*0.75*6,2)</f>
        <v>2.25</v>
      </c>
      <c r="I17" s="13"/>
      <c r="J17" s="13"/>
      <c r="K17" s="13"/>
      <c r="L17" s="10"/>
    </row>
    <row r="18" spans="1:12" x14ac:dyDescent="0.25">
      <c r="A18" s="10">
        <v>15</v>
      </c>
      <c r="B18" s="10" t="s">
        <v>26</v>
      </c>
      <c r="C18" s="11" t="s">
        <v>8</v>
      </c>
      <c r="D18" s="11">
        <v>1</v>
      </c>
      <c r="E18" s="12">
        <f>2*7</f>
        <v>14</v>
      </c>
      <c r="F18" s="13"/>
      <c r="G18" s="13"/>
      <c r="H18" s="12">
        <f>ROUND(0.5*0.75*6,2)</f>
        <v>2.25</v>
      </c>
      <c r="I18" s="13"/>
      <c r="J18" s="13"/>
      <c r="K18" s="13"/>
      <c r="L18" s="10"/>
    </row>
    <row r="19" spans="1:12" x14ac:dyDescent="0.25">
      <c r="A19" s="10">
        <v>16</v>
      </c>
      <c r="B19" s="10" t="s">
        <v>65</v>
      </c>
      <c r="C19" s="11" t="s">
        <v>10</v>
      </c>
      <c r="D19" s="11">
        <v>1</v>
      </c>
      <c r="E19" s="12">
        <f>2*6</f>
        <v>12</v>
      </c>
      <c r="F19" s="13"/>
      <c r="G19" s="13"/>
      <c r="H19" s="13"/>
      <c r="I19" s="13"/>
      <c r="J19" s="13"/>
      <c r="K19" s="13"/>
      <c r="L19" s="10"/>
    </row>
    <row r="20" spans="1:12" x14ac:dyDescent="0.25">
      <c r="A20" s="10">
        <v>17</v>
      </c>
      <c r="B20" s="10" t="s">
        <v>27</v>
      </c>
      <c r="C20" s="11" t="s">
        <v>10</v>
      </c>
      <c r="D20" s="11">
        <v>1</v>
      </c>
      <c r="E20" s="12">
        <f>2*9</f>
        <v>18</v>
      </c>
      <c r="F20" s="13"/>
      <c r="G20" s="13"/>
      <c r="H20" s="12">
        <f>ROUND(0.5*0.75*12,2)</f>
        <v>4.5</v>
      </c>
      <c r="I20" s="13"/>
      <c r="J20" s="13"/>
      <c r="K20" s="13"/>
      <c r="L20" s="10"/>
    </row>
    <row r="21" spans="1:12" x14ac:dyDescent="0.25">
      <c r="A21" s="10">
        <v>18</v>
      </c>
      <c r="B21" s="10" t="s">
        <v>64</v>
      </c>
      <c r="C21" s="11" t="s">
        <v>10</v>
      </c>
      <c r="D21" s="11">
        <v>1</v>
      </c>
      <c r="E21" s="13"/>
      <c r="F21" s="13"/>
      <c r="G21" s="13"/>
      <c r="H21" s="13"/>
      <c r="I21" s="13"/>
      <c r="J21" s="12">
        <f>ROUND(0.232*2*3.5,2)</f>
        <v>1.62</v>
      </c>
      <c r="K21" s="13"/>
      <c r="L21" s="10"/>
    </row>
    <row r="22" spans="1:12" x14ac:dyDescent="0.25">
      <c r="A22" s="10">
        <v>19</v>
      </c>
      <c r="B22" s="10" t="s">
        <v>28</v>
      </c>
      <c r="C22" s="11" t="s">
        <v>9</v>
      </c>
      <c r="D22" s="11">
        <v>1</v>
      </c>
      <c r="E22" s="12">
        <f>2*7</f>
        <v>14</v>
      </c>
      <c r="F22" s="13"/>
      <c r="G22" s="13"/>
      <c r="H22" s="12">
        <f>ROUND(0.5*0.75*6,2)</f>
        <v>2.25</v>
      </c>
      <c r="I22" s="13"/>
      <c r="J22" s="13"/>
      <c r="K22" s="13"/>
      <c r="L22" s="10"/>
    </row>
    <row r="23" spans="1:12" x14ac:dyDescent="0.25">
      <c r="A23" s="10">
        <v>20</v>
      </c>
      <c r="B23" s="10" t="s">
        <v>71</v>
      </c>
      <c r="C23" s="11" t="s">
        <v>9</v>
      </c>
      <c r="D23" s="11">
        <v>1</v>
      </c>
      <c r="E23" s="13"/>
      <c r="F23" s="13"/>
      <c r="G23" s="12">
        <f>0.5*7</f>
        <v>3.5</v>
      </c>
      <c r="H23" s="13"/>
      <c r="I23" s="13"/>
      <c r="J23" s="13"/>
      <c r="K23" s="13"/>
      <c r="L23" s="10"/>
    </row>
    <row r="24" spans="1:12" x14ac:dyDescent="0.25">
      <c r="A24" s="10">
        <v>21</v>
      </c>
      <c r="B24" s="10" t="s">
        <v>28</v>
      </c>
      <c r="C24" s="11" t="s">
        <v>9</v>
      </c>
      <c r="D24" s="11">
        <v>1</v>
      </c>
      <c r="E24" s="13"/>
      <c r="F24" s="13"/>
      <c r="G24" s="12">
        <f>0.5*9</f>
        <v>4.5</v>
      </c>
      <c r="H24" s="13"/>
      <c r="I24" s="13"/>
      <c r="J24" s="13"/>
      <c r="K24" s="13"/>
      <c r="L24" s="10"/>
    </row>
    <row r="25" spans="1:12" x14ac:dyDescent="0.25">
      <c r="A25" s="10">
        <v>22</v>
      </c>
      <c r="B25" s="10" t="s">
        <v>72</v>
      </c>
      <c r="C25" s="11" t="s">
        <v>9</v>
      </c>
      <c r="D25" s="11">
        <v>1</v>
      </c>
      <c r="E25" s="13"/>
      <c r="F25" s="13"/>
      <c r="G25" s="12">
        <f>0.5*4.5</f>
        <v>2.25</v>
      </c>
      <c r="H25" s="13"/>
      <c r="I25" s="13"/>
      <c r="J25" s="13"/>
      <c r="K25" s="13"/>
      <c r="L25" s="10"/>
    </row>
    <row r="26" spans="1:12" x14ac:dyDescent="0.25">
      <c r="A26" s="10">
        <v>23</v>
      </c>
      <c r="B26" s="10" t="s">
        <v>73</v>
      </c>
      <c r="C26" s="11" t="s">
        <v>9</v>
      </c>
      <c r="D26" s="11">
        <v>1</v>
      </c>
      <c r="E26" s="13"/>
      <c r="F26" s="13"/>
      <c r="G26" s="12">
        <f>0.5*5</f>
        <v>2.5</v>
      </c>
      <c r="H26" s="13"/>
      <c r="I26" s="13"/>
      <c r="J26" s="13"/>
      <c r="K26" s="13"/>
      <c r="L26" s="10"/>
    </row>
    <row r="27" spans="1:12" x14ac:dyDescent="0.25">
      <c r="A27" s="10">
        <v>24</v>
      </c>
      <c r="B27" s="10" t="s">
        <v>37</v>
      </c>
      <c r="C27" s="11" t="s">
        <v>8</v>
      </c>
      <c r="D27" s="11">
        <v>1</v>
      </c>
      <c r="E27" s="12">
        <f>0.5*6*(7+7)</f>
        <v>42</v>
      </c>
      <c r="F27" s="13"/>
      <c r="G27" s="13"/>
      <c r="H27" s="13"/>
      <c r="I27" s="13"/>
      <c r="J27" s="13"/>
      <c r="K27" s="13"/>
      <c r="L27" s="10" t="s">
        <v>11</v>
      </c>
    </row>
    <row r="28" spans="1:12" x14ac:dyDescent="0.25">
      <c r="A28" s="10">
        <v>25</v>
      </c>
      <c r="B28" s="10" t="s">
        <v>36</v>
      </c>
      <c r="C28" s="11" t="s">
        <v>8</v>
      </c>
      <c r="D28" s="11">
        <v>1</v>
      </c>
      <c r="E28" s="12">
        <f>2*(7+7)</f>
        <v>28</v>
      </c>
      <c r="F28" s="13"/>
      <c r="G28" s="13"/>
      <c r="H28" s="12">
        <f>ROUND(0.5*0.75*(6+6),2)</f>
        <v>4.5</v>
      </c>
      <c r="I28" s="13"/>
      <c r="J28" s="13"/>
      <c r="K28" s="13"/>
      <c r="L28" s="10"/>
    </row>
    <row r="29" spans="1:12" x14ac:dyDescent="0.25">
      <c r="A29" s="10">
        <v>26</v>
      </c>
      <c r="B29" s="10" t="s">
        <v>35</v>
      </c>
      <c r="C29" s="11" t="s">
        <v>8</v>
      </c>
      <c r="D29" s="11">
        <v>1</v>
      </c>
      <c r="E29" s="12">
        <f>2*6</f>
        <v>12</v>
      </c>
      <c r="F29" s="12">
        <f>0.5*0.5*12</f>
        <v>3</v>
      </c>
      <c r="G29" s="13"/>
      <c r="H29" s="13"/>
      <c r="I29" s="12">
        <f>ROUND(2.5*6.5+0.5,2)</f>
        <v>16.75</v>
      </c>
      <c r="J29" s="13"/>
      <c r="K29" s="13"/>
      <c r="L29" s="10"/>
    </row>
    <row r="30" spans="1:12" x14ac:dyDescent="0.25">
      <c r="A30" s="10">
        <v>27</v>
      </c>
      <c r="B30" s="10" t="s">
        <v>34</v>
      </c>
      <c r="C30" s="11" t="s">
        <v>8</v>
      </c>
      <c r="D30" s="11">
        <v>1</v>
      </c>
      <c r="E30" s="12">
        <f>2*(7+7)</f>
        <v>28</v>
      </c>
      <c r="F30" s="13"/>
      <c r="G30" s="13"/>
      <c r="H30" s="12">
        <f>ROUND(0.5*0.75*(6+6),2)</f>
        <v>4.5</v>
      </c>
      <c r="I30" s="13"/>
      <c r="J30" s="13"/>
      <c r="K30" s="13"/>
      <c r="L30" s="10"/>
    </row>
    <row r="31" spans="1:12" x14ac:dyDescent="0.25">
      <c r="A31" s="10">
        <v>28</v>
      </c>
      <c r="B31" s="10" t="s">
        <v>33</v>
      </c>
      <c r="C31" s="11" t="s">
        <v>8</v>
      </c>
      <c r="D31" s="11">
        <v>2</v>
      </c>
      <c r="E31" s="12">
        <f>2*(7+7+7)</f>
        <v>42</v>
      </c>
      <c r="F31" s="12">
        <f>0.5*0.5*(8+9)</f>
        <v>4.25</v>
      </c>
      <c r="G31" s="13"/>
      <c r="H31" s="12">
        <f>ROUND(0.5*0.75*6,2)</f>
        <v>2.25</v>
      </c>
      <c r="I31" s="12">
        <f>ROUND(1.5*9.5+0.5,2)</f>
        <v>14.75</v>
      </c>
      <c r="J31" s="13"/>
      <c r="K31" s="13"/>
      <c r="L31" s="10"/>
    </row>
    <row r="32" spans="1:12" x14ac:dyDescent="0.25">
      <c r="A32" s="10">
        <v>29</v>
      </c>
      <c r="B32" s="10" t="s">
        <v>32</v>
      </c>
      <c r="C32" s="11" t="s">
        <v>8</v>
      </c>
      <c r="D32" s="11">
        <v>3</v>
      </c>
      <c r="E32" s="12">
        <f>2*(7+7+7+7+7)</f>
        <v>70</v>
      </c>
      <c r="F32" s="12">
        <f>0.5*0.5*(14+14+7+14+14)</f>
        <v>15.75</v>
      </c>
      <c r="G32" s="12">
        <f>0.5*8.8</f>
        <v>4.4000000000000004</v>
      </c>
      <c r="H32" s="12">
        <f>ROUND(0.5*0.75*(6+6),2)</f>
        <v>4.5</v>
      </c>
      <c r="I32" s="12">
        <f>ROUND(1.5*(7+7+7.5+7+7)+1.25,2)</f>
        <v>54.5</v>
      </c>
      <c r="J32" s="13"/>
      <c r="K32" s="13"/>
      <c r="L32" s="10"/>
    </row>
    <row r="33" spans="1:12" x14ac:dyDescent="0.25">
      <c r="A33" s="10">
        <v>30</v>
      </c>
      <c r="B33" s="10" t="s">
        <v>31</v>
      </c>
      <c r="C33" s="11" t="s">
        <v>8</v>
      </c>
      <c r="D33" s="11">
        <v>1</v>
      </c>
      <c r="E33" s="12">
        <f>2*(7+8)</f>
        <v>30</v>
      </c>
      <c r="F33" s="12">
        <f>0.5*0.5*(7+8)</f>
        <v>3.75</v>
      </c>
      <c r="G33" s="13"/>
      <c r="H33" s="12">
        <f>ROUND(0.5*0.75*7,2)</f>
        <v>2.63</v>
      </c>
      <c r="I33" s="12">
        <f>ROUND(1.5*(7.5+8.2)+0.5,2)</f>
        <v>24.05</v>
      </c>
      <c r="J33" s="13"/>
      <c r="K33" s="13"/>
      <c r="L33" s="10"/>
    </row>
    <row r="34" spans="1:12" x14ac:dyDescent="0.25">
      <c r="A34" s="10">
        <v>31</v>
      </c>
      <c r="B34" s="10" t="s">
        <v>74</v>
      </c>
      <c r="C34" s="11" t="s">
        <v>10</v>
      </c>
      <c r="D34" s="11">
        <v>2</v>
      </c>
      <c r="E34" s="13"/>
      <c r="F34" s="13"/>
      <c r="G34" s="13"/>
      <c r="H34" s="13"/>
      <c r="I34" s="13"/>
      <c r="J34" s="12">
        <f>ROUND(0.232*(2*5.7+2*5.4),2)</f>
        <v>5.15</v>
      </c>
      <c r="K34" s="13"/>
      <c r="L34" s="10" t="s">
        <v>75</v>
      </c>
    </row>
    <row r="35" spans="1:12" x14ac:dyDescent="0.25">
      <c r="A35" s="10">
        <v>32</v>
      </c>
      <c r="B35" s="10" t="s">
        <v>76</v>
      </c>
      <c r="C35" s="11" t="s">
        <v>10</v>
      </c>
      <c r="D35" s="11">
        <v>3</v>
      </c>
      <c r="E35" s="12">
        <f>2*(7+7+7)</f>
        <v>42</v>
      </c>
      <c r="F35" s="13"/>
      <c r="G35" s="13"/>
      <c r="H35" s="13"/>
      <c r="I35" s="13"/>
      <c r="J35" s="13"/>
      <c r="K35" s="13"/>
      <c r="L35" s="10" t="s">
        <v>77</v>
      </c>
    </row>
    <row r="36" spans="1:12" x14ac:dyDescent="0.25">
      <c r="A36" s="10">
        <v>33</v>
      </c>
      <c r="B36" s="10" t="s">
        <v>38</v>
      </c>
      <c r="C36" s="11" t="s">
        <v>8</v>
      </c>
      <c r="D36" s="11">
        <v>2</v>
      </c>
      <c r="E36" s="12">
        <f>2*(8.5+10)</f>
        <v>37</v>
      </c>
      <c r="F36" s="13"/>
      <c r="G36" s="13"/>
      <c r="H36" s="12">
        <f>ROUND(0.5*0.75*9,2)</f>
        <v>3.38</v>
      </c>
      <c r="I36" s="13"/>
      <c r="J36" s="13"/>
      <c r="K36" s="13"/>
      <c r="L36" s="10" t="s">
        <v>39</v>
      </c>
    </row>
    <row r="37" spans="1:12" x14ac:dyDescent="0.25">
      <c r="A37" s="10">
        <v>34</v>
      </c>
      <c r="B37" s="10" t="s">
        <v>40</v>
      </c>
      <c r="C37" s="11" t="s">
        <v>9</v>
      </c>
      <c r="D37" s="11">
        <v>2</v>
      </c>
      <c r="E37" s="12">
        <f>2*(7+7)</f>
        <v>28</v>
      </c>
      <c r="F37" s="12">
        <f>0.5*0.5*14</f>
        <v>3.5</v>
      </c>
      <c r="G37" s="12">
        <f>0.5*10.8</f>
        <v>5.4</v>
      </c>
      <c r="H37" s="12">
        <f>ROUND(0.5*0.75*6,2)</f>
        <v>2.25</v>
      </c>
      <c r="I37" s="12">
        <f>ROUND(2.5*7,2)</f>
        <v>17.5</v>
      </c>
      <c r="J37" s="13"/>
      <c r="K37" s="13"/>
      <c r="L37" s="10"/>
    </row>
    <row r="38" spans="1:12" x14ac:dyDescent="0.25">
      <c r="A38" s="10">
        <v>35</v>
      </c>
      <c r="B38" s="10" t="s">
        <v>80</v>
      </c>
      <c r="C38" s="11" t="s">
        <v>10</v>
      </c>
      <c r="D38" s="11">
        <v>1</v>
      </c>
      <c r="E38" s="13"/>
      <c r="F38" s="13"/>
      <c r="G38" s="13"/>
      <c r="H38" s="13"/>
      <c r="I38" s="13"/>
      <c r="J38" s="13"/>
      <c r="K38" s="12">
        <f>2*6</f>
        <v>12</v>
      </c>
      <c r="L38" s="10"/>
    </row>
    <row r="39" spans="1:12" x14ac:dyDescent="0.25">
      <c r="A39" s="10">
        <v>36</v>
      </c>
      <c r="B39" s="10" t="s">
        <v>78</v>
      </c>
      <c r="C39" s="11" t="s">
        <v>10</v>
      </c>
      <c r="D39" s="11">
        <v>1</v>
      </c>
      <c r="E39" s="13"/>
      <c r="F39" s="13"/>
      <c r="G39" s="13"/>
      <c r="H39" s="13"/>
      <c r="I39" s="13"/>
      <c r="J39" s="12">
        <f>ROUND(0.232*2*3.5,2)</f>
        <v>1.62</v>
      </c>
      <c r="K39" s="13"/>
      <c r="L39" s="10" t="s">
        <v>79</v>
      </c>
    </row>
    <row r="40" spans="1:12" x14ac:dyDescent="0.25">
      <c r="A40" s="10">
        <v>37</v>
      </c>
      <c r="B40" s="10" t="s">
        <v>81</v>
      </c>
      <c r="C40" s="11" t="s">
        <v>10</v>
      </c>
      <c r="D40" s="11">
        <v>1</v>
      </c>
      <c r="E40" s="13"/>
      <c r="F40" s="13"/>
      <c r="G40" s="13"/>
      <c r="H40" s="13"/>
      <c r="I40" s="13"/>
      <c r="J40" s="12">
        <f>ROUND(0.232*2*4.5,2)</f>
        <v>2.09</v>
      </c>
      <c r="K40" s="13"/>
      <c r="L40" s="10"/>
    </row>
    <row r="41" spans="1:12" x14ac:dyDescent="0.25">
      <c r="A41" s="10">
        <v>38</v>
      </c>
      <c r="B41" s="10" t="s">
        <v>82</v>
      </c>
      <c r="C41" s="11" t="s">
        <v>10</v>
      </c>
      <c r="D41" s="11">
        <v>2</v>
      </c>
      <c r="E41" s="13"/>
      <c r="F41" s="13"/>
      <c r="G41" s="13"/>
      <c r="H41" s="13"/>
      <c r="I41" s="13"/>
      <c r="J41" s="12">
        <f>ROUND(0.232*(2*6+2*6.2),2)</f>
        <v>5.66</v>
      </c>
      <c r="K41" s="13"/>
      <c r="L41" s="10" t="s">
        <v>83</v>
      </c>
    </row>
    <row r="42" spans="1:12" x14ac:dyDescent="0.25">
      <c r="A42" s="10">
        <v>39</v>
      </c>
      <c r="B42" s="10" t="s">
        <v>87</v>
      </c>
      <c r="C42" s="11" t="s">
        <v>10</v>
      </c>
      <c r="D42" s="11">
        <v>1</v>
      </c>
      <c r="E42" s="13"/>
      <c r="F42" s="13"/>
      <c r="G42" s="13"/>
      <c r="H42" s="13"/>
      <c r="I42" s="13"/>
      <c r="J42" s="12">
        <f>ROUND(0.232*2*5.2,2)</f>
        <v>2.41</v>
      </c>
      <c r="K42" s="13"/>
      <c r="L42" s="10"/>
    </row>
    <row r="43" spans="1:12" x14ac:dyDescent="0.25">
      <c r="A43" s="10">
        <v>40</v>
      </c>
      <c r="B43" s="10" t="s">
        <v>52</v>
      </c>
      <c r="C43" s="11" t="s">
        <v>10</v>
      </c>
      <c r="D43" s="11">
        <v>1</v>
      </c>
      <c r="E43" s="12">
        <f>2*6</f>
        <v>12</v>
      </c>
      <c r="F43" s="13"/>
      <c r="G43" s="13"/>
      <c r="H43" s="13"/>
      <c r="I43" s="13"/>
      <c r="J43" s="13"/>
      <c r="K43" s="13"/>
      <c r="L43" s="10" t="s">
        <v>15</v>
      </c>
    </row>
    <row r="44" spans="1:12" x14ac:dyDescent="0.25">
      <c r="A44" s="10">
        <v>41</v>
      </c>
      <c r="B44" s="10" t="s">
        <v>41</v>
      </c>
      <c r="C44" s="11" t="s">
        <v>8</v>
      </c>
      <c r="D44" s="11">
        <v>1</v>
      </c>
      <c r="E44" s="12">
        <f>0.5*6*(7+7)</f>
        <v>42</v>
      </c>
      <c r="F44" s="13"/>
      <c r="G44" s="13"/>
      <c r="H44" s="12">
        <f>ROUND(0.5*0.75*(6+6),2)</f>
        <v>4.5</v>
      </c>
      <c r="I44" s="13"/>
      <c r="J44" s="13"/>
      <c r="K44" s="13"/>
      <c r="L44" s="10"/>
    </row>
    <row r="45" spans="1:12" x14ac:dyDescent="0.25">
      <c r="A45" s="10">
        <v>42</v>
      </c>
      <c r="B45" s="10" t="s">
        <v>42</v>
      </c>
      <c r="C45" s="11" t="s">
        <v>8</v>
      </c>
      <c r="D45" s="11">
        <v>1</v>
      </c>
      <c r="E45" s="12">
        <f>0.5*6*(7+7)</f>
        <v>42</v>
      </c>
      <c r="F45" s="13"/>
      <c r="G45" s="13"/>
      <c r="H45" s="12">
        <f>ROUND(0.5*0.75*(7+7),2)</f>
        <v>5.25</v>
      </c>
      <c r="I45" s="13"/>
      <c r="J45" s="13"/>
      <c r="K45" s="13"/>
      <c r="L45" s="10"/>
    </row>
    <row r="46" spans="1:12" x14ac:dyDescent="0.25">
      <c r="A46" s="10">
        <v>43</v>
      </c>
      <c r="B46" s="10" t="s">
        <v>43</v>
      </c>
      <c r="C46" s="11" t="s">
        <v>8</v>
      </c>
      <c r="D46" s="11">
        <v>2</v>
      </c>
      <c r="E46" s="12">
        <f>0.5*5*(5+11)+0.5*5*(6.5+11.5)</f>
        <v>85</v>
      </c>
      <c r="F46" s="13"/>
      <c r="G46" s="12">
        <f>0.5*(8.1+8.1)</f>
        <v>8.1</v>
      </c>
      <c r="H46" s="12">
        <f>ROUND(0.5*0.75*4*9,2)</f>
        <v>13.5</v>
      </c>
      <c r="I46" s="13"/>
      <c r="J46" s="13"/>
      <c r="K46" s="13"/>
      <c r="L46" s="10" t="s">
        <v>44</v>
      </c>
    </row>
    <row r="47" spans="1:12" x14ac:dyDescent="0.25">
      <c r="A47" s="10">
        <v>44</v>
      </c>
      <c r="B47" s="10" t="s">
        <v>45</v>
      </c>
      <c r="C47" s="11" t="s">
        <v>8</v>
      </c>
      <c r="D47" s="11">
        <v>2</v>
      </c>
      <c r="E47" s="12">
        <f>2*(7+7+9)</f>
        <v>46</v>
      </c>
      <c r="F47" s="12">
        <f>0.5*0.5*14</f>
        <v>3.5</v>
      </c>
      <c r="G47" s="12">
        <f>0.5*9.5</f>
        <v>4.75</v>
      </c>
      <c r="H47" s="12">
        <f>ROUND(0.5*0.75*(6+6),2)</f>
        <v>4.5</v>
      </c>
      <c r="I47" s="12">
        <f>ROUND(2.5*7+0.25,2)</f>
        <v>17.75</v>
      </c>
      <c r="J47" s="13"/>
      <c r="K47" s="13"/>
      <c r="L47" s="10"/>
    </row>
    <row r="48" spans="1:12" x14ac:dyDescent="0.25">
      <c r="A48" s="10">
        <v>45</v>
      </c>
      <c r="B48" s="10" t="s">
        <v>46</v>
      </c>
      <c r="C48" s="11" t="s">
        <v>8</v>
      </c>
      <c r="D48" s="11">
        <v>4</v>
      </c>
      <c r="E48" s="12">
        <f>2*(7+7.5+7+7+7+7+7)</f>
        <v>99</v>
      </c>
      <c r="F48" s="12">
        <f>0.5*0.5*(17+17+16+14+14+14+14)</f>
        <v>26.5</v>
      </c>
      <c r="G48" s="13"/>
      <c r="H48" s="13"/>
      <c r="I48" s="12">
        <f>ROUND(2.5*(8.9+8.5+8.5+7+8+7+7)+2.5,2)</f>
        <v>139.75</v>
      </c>
      <c r="J48" s="13"/>
      <c r="K48" s="13"/>
      <c r="L48" s="10"/>
    </row>
    <row r="49" spans="1:12" x14ac:dyDescent="0.25">
      <c r="A49" s="10">
        <v>46</v>
      </c>
      <c r="B49" s="10" t="s">
        <v>89</v>
      </c>
      <c r="C49" s="11" t="s">
        <v>10</v>
      </c>
      <c r="D49" s="11">
        <v>2</v>
      </c>
      <c r="E49" s="12">
        <f>2*(7+11)</f>
        <v>36</v>
      </c>
      <c r="F49" s="13"/>
      <c r="G49" s="13"/>
      <c r="H49" s="12">
        <f>ROUND(0.5*0.75*(6+9),2)</f>
        <v>5.63</v>
      </c>
      <c r="I49" s="13"/>
      <c r="J49" s="13"/>
      <c r="K49" s="13"/>
      <c r="L49" s="10"/>
    </row>
    <row r="50" spans="1:12" x14ac:dyDescent="0.25">
      <c r="A50" s="10">
        <v>47</v>
      </c>
      <c r="B50" s="10" t="s">
        <v>47</v>
      </c>
      <c r="C50" s="11" t="s">
        <v>8</v>
      </c>
      <c r="D50" s="11">
        <v>1</v>
      </c>
      <c r="E50" s="12">
        <f>2*(7+7)</f>
        <v>28</v>
      </c>
      <c r="F50" s="13"/>
      <c r="G50" s="13"/>
      <c r="H50" s="12">
        <f>ROUND(0.5*0.75*(6+6),2)</f>
        <v>4.5</v>
      </c>
      <c r="I50" s="13"/>
      <c r="J50" s="13"/>
      <c r="K50" s="13"/>
      <c r="L50" s="10"/>
    </row>
    <row r="51" spans="1:12" x14ac:dyDescent="0.25">
      <c r="A51" s="10">
        <v>48</v>
      </c>
      <c r="B51" s="10" t="s">
        <v>48</v>
      </c>
      <c r="C51" s="11" t="s">
        <v>8</v>
      </c>
      <c r="D51" s="11">
        <v>5</v>
      </c>
      <c r="E51" s="12">
        <f>0.5*5*(6+7)+0.5*8*(7+12)+0.5*4*(8+6)+0.5*8*(7+10)+0.5*6*(7+7)</f>
        <v>246.5</v>
      </c>
      <c r="F51" s="13"/>
      <c r="G51" s="12">
        <f>0.5*(5.8+4+5.3+4.3)</f>
        <v>9.7000000000000011</v>
      </c>
      <c r="H51" s="12">
        <f>ROUND(0.5*0.75*(6+6+10+7+10+7),2)</f>
        <v>17.25</v>
      </c>
      <c r="I51" s="13"/>
      <c r="J51" s="13"/>
      <c r="K51" s="13"/>
      <c r="L51" s="10" t="s">
        <v>49</v>
      </c>
    </row>
    <row r="52" spans="1:12" x14ac:dyDescent="0.25">
      <c r="A52" s="10">
        <v>49</v>
      </c>
      <c r="B52" s="10" t="s">
        <v>50</v>
      </c>
      <c r="C52" s="11" t="s">
        <v>10</v>
      </c>
      <c r="D52" s="11">
        <v>1</v>
      </c>
      <c r="E52" s="12">
        <f>2*7</f>
        <v>14</v>
      </c>
      <c r="F52" s="13"/>
      <c r="G52" s="13"/>
      <c r="H52" s="13"/>
      <c r="I52" s="13"/>
      <c r="J52" s="13"/>
      <c r="K52" s="13"/>
      <c r="L52" s="10"/>
    </row>
    <row r="53" spans="1:12" x14ac:dyDescent="0.25">
      <c r="A53" s="10">
        <v>50</v>
      </c>
      <c r="B53" s="10" t="s">
        <v>91</v>
      </c>
      <c r="C53" s="11" t="s">
        <v>8</v>
      </c>
      <c r="D53" s="11">
        <v>1</v>
      </c>
      <c r="E53" s="13"/>
      <c r="F53" s="13"/>
      <c r="G53" s="12">
        <f>0.5*12</f>
        <v>6</v>
      </c>
      <c r="H53" s="13"/>
      <c r="I53" s="13"/>
      <c r="J53" s="13"/>
      <c r="K53" s="13"/>
      <c r="L53" s="10"/>
    </row>
    <row r="54" spans="1:12" x14ac:dyDescent="0.25">
      <c r="A54" s="10">
        <v>51</v>
      </c>
      <c r="B54" s="10" t="s">
        <v>84</v>
      </c>
      <c r="C54" s="11" t="s">
        <v>10</v>
      </c>
      <c r="D54" s="11">
        <v>1</v>
      </c>
      <c r="E54" s="12">
        <f>2*6</f>
        <v>12</v>
      </c>
      <c r="F54" s="13"/>
      <c r="G54" s="13"/>
      <c r="H54" s="13"/>
      <c r="I54" s="13"/>
      <c r="J54" s="12">
        <f>ROUND(0.232*2*5.8,2)</f>
        <v>2.69</v>
      </c>
      <c r="K54" s="13"/>
      <c r="L54" s="10"/>
    </row>
    <row r="55" spans="1:12" x14ac:dyDescent="0.25">
      <c r="A55" s="10">
        <v>52</v>
      </c>
      <c r="B55" s="10" t="s">
        <v>85</v>
      </c>
      <c r="C55" s="11" t="s">
        <v>10</v>
      </c>
      <c r="D55" s="11">
        <v>1</v>
      </c>
      <c r="E55" s="13"/>
      <c r="F55" s="13"/>
      <c r="G55" s="13"/>
      <c r="H55" s="13"/>
      <c r="I55" s="13"/>
      <c r="J55" s="12">
        <f>ROUND(0.232*2*3.5,2)</f>
        <v>1.62</v>
      </c>
      <c r="K55" s="13"/>
      <c r="L55" s="10"/>
    </row>
    <row r="56" spans="1:12" x14ac:dyDescent="0.25">
      <c r="A56" s="10">
        <v>53</v>
      </c>
      <c r="B56" s="10" t="s">
        <v>86</v>
      </c>
      <c r="C56" s="11" t="s">
        <v>10</v>
      </c>
      <c r="D56" s="11">
        <v>4</v>
      </c>
      <c r="E56" s="13"/>
      <c r="F56" s="13"/>
      <c r="G56" s="13"/>
      <c r="H56" s="13"/>
      <c r="I56" s="13"/>
      <c r="J56" s="12">
        <f>ROUND(0.232*2*(6.8+5.6+5.5+7),2)</f>
        <v>11.55</v>
      </c>
      <c r="K56" s="13"/>
      <c r="L56" s="10"/>
    </row>
    <row r="57" spans="1:12" x14ac:dyDescent="0.25">
      <c r="A57" s="10">
        <v>54</v>
      </c>
      <c r="B57" s="10" t="s">
        <v>51</v>
      </c>
      <c r="C57" s="11" t="s">
        <v>10</v>
      </c>
      <c r="D57" s="11">
        <v>5</v>
      </c>
      <c r="E57" s="12">
        <f>2*(5+5+4+5+5)+0.5*0.5+0.5*5*7</f>
        <v>65.75</v>
      </c>
      <c r="F57" s="13"/>
      <c r="G57" s="13"/>
      <c r="H57" s="13"/>
      <c r="I57" s="13"/>
      <c r="J57" s="12">
        <f>ROUND(0.232*2*(5.4+5.4+5.3),2)</f>
        <v>7.47</v>
      </c>
      <c r="K57" s="13"/>
      <c r="L57" s="10"/>
    </row>
    <row r="58" spans="1:12" x14ac:dyDescent="0.25">
      <c r="A58" s="10">
        <v>55</v>
      </c>
      <c r="B58" s="10" t="s">
        <v>88</v>
      </c>
      <c r="C58" s="11" t="s">
        <v>8</v>
      </c>
      <c r="D58" s="11">
        <v>1</v>
      </c>
      <c r="E58" s="12">
        <f>2*12</f>
        <v>24</v>
      </c>
      <c r="F58" s="13"/>
      <c r="G58" s="13"/>
      <c r="H58" s="12">
        <f>ROUND(0.5*0.75*(5+5),2)</f>
        <v>3.75</v>
      </c>
      <c r="I58" s="13"/>
      <c r="J58" s="13"/>
      <c r="K58" s="13"/>
      <c r="L58" s="10"/>
    </row>
    <row r="59" spans="1:12" x14ac:dyDescent="0.25">
      <c r="A59" s="10">
        <v>56</v>
      </c>
      <c r="B59" s="10" t="s">
        <v>53</v>
      </c>
      <c r="C59" s="11" t="s">
        <v>8</v>
      </c>
      <c r="D59" s="11">
        <v>1</v>
      </c>
      <c r="E59" s="12">
        <f>2*(8+13.5)</f>
        <v>43</v>
      </c>
      <c r="F59" s="12">
        <f>0.5*0.5*(14+11+12)</f>
        <v>9.25</v>
      </c>
      <c r="G59" s="13"/>
      <c r="H59" s="12">
        <f>ROUND(0.5*0.75*8,2)</f>
        <v>3</v>
      </c>
      <c r="I59" s="12">
        <f>ROUND(2*(7.5+11)+0.25,2)</f>
        <v>37.25</v>
      </c>
      <c r="J59" s="13"/>
      <c r="K59" s="13"/>
      <c r="L59" s="10" t="s">
        <v>54</v>
      </c>
    </row>
    <row r="60" spans="1:12" x14ac:dyDescent="0.25">
      <c r="A60" s="10">
        <v>57</v>
      </c>
      <c r="B60" s="10" t="s">
        <v>55</v>
      </c>
      <c r="C60" s="11" t="s">
        <v>9</v>
      </c>
      <c r="D60" s="11">
        <v>1</v>
      </c>
      <c r="E60" s="12">
        <f>2*(7+8+5)</f>
        <v>40</v>
      </c>
      <c r="F60" s="12">
        <f>0.5*0.5*2*(7+8+5)</f>
        <v>10</v>
      </c>
      <c r="G60" s="13"/>
      <c r="H60" s="12">
        <f>ROUND(0.5*0.75*(4+6+3+4+9),2)</f>
        <v>9.75</v>
      </c>
      <c r="I60" s="12">
        <f>ROUND(2*(7.3+8+5)+0.5,2)</f>
        <v>41.1</v>
      </c>
      <c r="J60" s="13"/>
      <c r="K60" s="13"/>
      <c r="L60" s="10" t="s">
        <v>57</v>
      </c>
    </row>
    <row r="61" spans="1:12" x14ac:dyDescent="0.25">
      <c r="A61" s="10">
        <v>58</v>
      </c>
      <c r="B61" s="10" t="s">
        <v>56</v>
      </c>
      <c r="C61" s="11" t="s">
        <v>9</v>
      </c>
      <c r="D61" s="11">
        <v>1</v>
      </c>
      <c r="E61" s="12">
        <f>2*(9+10.5)</f>
        <v>39</v>
      </c>
      <c r="F61" s="12">
        <f>0.5*0.5*(14+9+8)</f>
        <v>7.75</v>
      </c>
      <c r="G61" s="13"/>
      <c r="H61" s="12">
        <f>ROUND(0.5*0.75*(7+6+6+4),2)</f>
        <v>8.6300000000000008</v>
      </c>
      <c r="I61" s="12">
        <f>ROUND(2*(7+8.3),2)</f>
        <v>30.6</v>
      </c>
      <c r="J61" s="13"/>
      <c r="K61" s="13"/>
      <c r="L61" s="10" t="s">
        <v>57</v>
      </c>
    </row>
    <row r="62" spans="1:12" x14ac:dyDescent="0.25">
      <c r="A62" s="10">
        <v>59</v>
      </c>
      <c r="B62" s="10" t="s">
        <v>90</v>
      </c>
      <c r="C62" s="11" t="s">
        <v>8</v>
      </c>
      <c r="D62" s="11">
        <v>1</v>
      </c>
      <c r="E62" s="13"/>
      <c r="F62" s="13"/>
      <c r="G62" s="13"/>
      <c r="H62" s="12">
        <f>ROUND(0.5*0.75*(3+3),2)</f>
        <v>2.25</v>
      </c>
      <c r="I62" s="13"/>
      <c r="J62" s="13"/>
      <c r="K62" s="13"/>
      <c r="L62" s="10"/>
    </row>
    <row r="63" spans="1:12" s="1" customFormat="1" x14ac:dyDescent="0.25">
      <c r="B63" s="2" t="s">
        <v>2</v>
      </c>
      <c r="C63" s="4"/>
      <c r="D63" s="5">
        <f>SUM(D4:D62)</f>
        <v>87</v>
      </c>
      <c r="E63" s="17">
        <f t="shared" ref="E63:K63" si="0">SUM(E4:E61)</f>
        <v>1457.25</v>
      </c>
      <c r="F63" s="17">
        <f t="shared" si="0"/>
        <v>87.25</v>
      </c>
      <c r="G63" s="17">
        <f t="shared" si="0"/>
        <v>51.1</v>
      </c>
      <c r="H63" s="17">
        <f t="shared" si="0"/>
        <v>127.14999999999999</v>
      </c>
      <c r="I63" s="17">
        <f t="shared" si="0"/>
        <v>394.00000000000006</v>
      </c>
      <c r="J63" s="17">
        <f>SUM(J4:J61)</f>
        <v>52.230000000000004</v>
      </c>
      <c r="K63" s="17">
        <f t="shared" si="0"/>
        <v>12</v>
      </c>
    </row>
    <row r="64" spans="1:12" x14ac:dyDescent="0.25">
      <c r="B64" s="16" t="s">
        <v>16</v>
      </c>
      <c r="C64" s="16"/>
      <c r="D64" s="16"/>
      <c r="E64" s="18"/>
      <c r="F64" s="18"/>
      <c r="G64" s="18"/>
      <c r="H64" s="18">
        <v>0</v>
      </c>
      <c r="I64" s="18">
        <v>0</v>
      </c>
      <c r="J64" s="18">
        <v>0</v>
      </c>
      <c r="K64" s="18">
        <v>0</v>
      </c>
    </row>
    <row r="65" spans="11:12" x14ac:dyDescent="0.25">
      <c r="K65" s="15" t="s">
        <v>17</v>
      </c>
      <c r="L65" s="6">
        <f>ROUND(SUM(E63:H63)*H64+I63*I64+J63*J64+K63*K64,2)</f>
        <v>0</v>
      </c>
    </row>
    <row r="66" spans="11:12" x14ac:dyDescent="0.25">
      <c r="K66" s="15" t="s">
        <v>18</v>
      </c>
      <c r="L66" s="6">
        <f>L65*0.23</f>
        <v>0</v>
      </c>
    </row>
    <row r="67" spans="11:12" x14ac:dyDescent="0.25">
      <c r="K67" s="15" t="s">
        <v>19</v>
      </c>
      <c r="L67" s="6">
        <f>L65+L66</f>
        <v>0</v>
      </c>
    </row>
  </sheetData>
  <mergeCells count="1">
    <mergeCell ref="A1:L1"/>
  </mergeCells>
  <pageMargins left="0.7" right="0.7" top="0.75" bottom="0.75" header="0.3" footer="0.3"/>
  <pageSetup paperSize="8" scale="88" fitToHeight="0" orientation="portrait" r:id="rId1"/>
  <ignoredErrors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2024-03-26T08:14:00Z</dcterms:modified>
</cp:coreProperties>
</file>