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J:\Refmie2\KaszubaA\PRZETARGI 2024\"/>
    </mc:Choice>
  </mc:AlternateContent>
  <bookViews>
    <workbookView xWindow="0" yWindow="0" windowWidth="28740" windowHeight="12210" firstSheet="1" activeTab="1"/>
  </bookViews>
  <sheets>
    <sheet name="strona tyt KI" sheetId="60" state="hidden" r:id="rId1"/>
    <sheet name="KO" sheetId="72" r:id="rId2"/>
    <sheet name="PRZEDMIAR" sheetId="68" r:id="rId3"/>
    <sheet name="5.1. Brzeziny - Dół Płn." sheetId="56" state="hidden" r:id="rId4"/>
    <sheet name="5.2. Brzeziny - Dół Płn." sheetId="55" state="hidden" r:id="rId5"/>
    <sheet name="4.Zdjęcie humusu" sheetId="28" state="hidden" r:id="rId6"/>
    <sheet name="5. Humusowanie" sheetId="29" state="hidden" r:id="rId7"/>
    <sheet name="6.Wykopy-Nasypy" sheetId="30" state="hidden" r:id="rId8"/>
    <sheet name="7.Koryto" sheetId="31" state="hidden" r:id="rId9"/>
    <sheet name="8.odcinająca" sheetId="32" state="hidden" r:id="rId10"/>
    <sheet name="9.wiążąca" sheetId="33" state="hidden" r:id="rId11"/>
    <sheet name="10.ścieralna" sheetId="34" state="hidden" r:id="rId12"/>
  </sheets>
  <externalReferences>
    <externalReference r:id="rId13"/>
    <externalReference r:id="rId14"/>
    <externalReference r:id="rId15"/>
  </externalReferences>
  <definedNames>
    <definedName name="_xlnm.Print_Area" localSheetId="11">'10.ścieralna'!$A$1:$G$46</definedName>
    <definedName name="_xlnm.Print_Area" localSheetId="5">'4.Zdjęcie humusu'!$A$1:$F$58</definedName>
    <definedName name="_xlnm.Print_Area" localSheetId="6">'5. Humusowanie'!$A$1:$F$61</definedName>
    <definedName name="_xlnm.Print_Area" localSheetId="3">'5.1. Brzeziny - Dół Płn.'!$A$1:$I$35</definedName>
    <definedName name="_xlnm.Print_Area" localSheetId="4">'5.2. Brzeziny - Dół Płn.'!$A$1:$E$28</definedName>
    <definedName name="_xlnm.Print_Area" localSheetId="7">'6.Wykopy-Nasypy'!$A$1:$N$77</definedName>
    <definedName name="_xlnm.Print_Area" localSheetId="8">'7.Koryto'!$A$1:$G$55</definedName>
    <definedName name="_xlnm.Print_Area" localSheetId="9">'8.odcinająca'!$A$1:$G$54</definedName>
    <definedName name="_xlnm.Print_Area" localSheetId="10">'9.wiążąca'!$A$1:$G$46</definedName>
    <definedName name="_xlnm.Print_Area" localSheetId="1">KO!$A$1:$J$146</definedName>
    <definedName name="_xlnm.Print_Area" localSheetId="2">PRZEDMIAR!$A$1:$H$138</definedName>
    <definedName name="_xlnm.Print_Area" localSheetId="0">'strona tyt KI'!$A$1:$J$32</definedName>
    <definedName name="Print_Area" localSheetId="1">KO!$A$1:$J$146</definedName>
    <definedName name="Print_Area" localSheetId="2">PRZEDMIAR!$A$1:$H$138</definedName>
  </definedNames>
  <calcPr calcId="15251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4" i="72" l="1"/>
  <c r="J138" i="72" l="1"/>
  <c r="J133" i="72"/>
  <c r="J126" i="72"/>
  <c r="J123" i="72"/>
  <c r="J121" i="72"/>
  <c r="J112" i="72"/>
  <c r="J73" i="72"/>
  <c r="J70" i="72"/>
  <c r="J58" i="72"/>
  <c r="J64" i="72" s="1"/>
  <c r="J42" i="72"/>
  <c r="J36" i="72"/>
  <c r="J34" i="72"/>
  <c r="J26" i="72"/>
  <c r="J21" i="72"/>
  <c r="J20" i="72"/>
  <c r="J19" i="72"/>
  <c r="H136" i="72"/>
  <c r="J136" i="72" s="1"/>
  <c r="E131" i="72"/>
  <c r="H115" i="72"/>
  <c r="J115" i="72" s="1"/>
  <c r="H110" i="72"/>
  <c r="J110" i="72" s="1"/>
  <c r="H108" i="72"/>
  <c r="J108" i="72" s="1"/>
  <c r="H102" i="72"/>
  <c r="J102" i="72" s="1"/>
  <c r="H99" i="72"/>
  <c r="J99" i="72" s="1"/>
  <c r="H97" i="72"/>
  <c r="J97" i="72" s="1"/>
  <c r="D93" i="72"/>
  <c r="F90" i="72"/>
  <c r="E88" i="72"/>
  <c r="F84" i="72"/>
  <c r="H78" i="72"/>
  <c r="J78" i="72" s="1"/>
  <c r="H75" i="72"/>
  <c r="J75" i="72" s="1"/>
  <c r="H67" i="72"/>
  <c r="J67" i="72" s="1"/>
  <c r="H49" i="72"/>
  <c r="J49" i="72" s="1"/>
  <c r="H47" i="72"/>
  <c r="J47" i="72" s="1"/>
  <c r="D40" i="72"/>
  <c r="D38" i="72"/>
  <c r="H32" i="72"/>
  <c r="J32" i="72" s="1"/>
  <c r="H29" i="72"/>
  <c r="J29" i="72" s="1"/>
  <c r="B19" i="72"/>
  <c r="B20" i="72" s="1"/>
  <c r="F14" i="72"/>
  <c r="F13" i="72"/>
  <c r="F12" i="72"/>
  <c r="F11" i="72"/>
  <c r="F10" i="72"/>
  <c r="F9" i="72"/>
  <c r="F8" i="72"/>
  <c r="F7" i="72"/>
  <c r="B7" i="72"/>
  <c r="B8" i="72" s="1"/>
  <c r="B9" i="72" s="1"/>
  <c r="B10" i="72" s="1"/>
  <c r="B11" i="72" s="1"/>
  <c r="H104" i="68"/>
  <c r="J129" i="72" l="1"/>
  <c r="J105" i="72"/>
  <c r="J52" i="72"/>
  <c r="J118" i="72"/>
  <c r="J22" i="72"/>
  <c r="J44" i="72"/>
  <c r="J142" i="72"/>
  <c r="J81" i="72"/>
  <c r="B12" i="72"/>
  <c r="B13" i="72"/>
  <c r="B14" i="72" s="1"/>
  <c r="J143" i="72" l="1"/>
  <c r="J146" i="72" s="1"/>
  <c r="J145" i="72" s="1"/>
  <c r="H128" i="68"/>
  <c r="H109" i="68"/>
  <c r="H102" i="68"/>
  <c r="H74" i="68"/>
  <c r="H71" i="68"/>
  <c r="H97" i="68" l="1"/>
  <c r="H94" i="68"/>
  <c r="H92" i="68"/>
  <c r="H66" i="68" s="1"/>
  <c r="H28" i="68"/>
  <c r="H63" i="68"/>
  <c r="H47" i="68"/>
  <c r="H45" i="68"/>
  <c r="H31" i="68"/>
  <c r="E123" i="68" l="1"/>
  <c r="D88" i="68"/>
  <c r="F85" i="68"/>
  <c r="E83" i="68"/>
  <c r="F79" i="68"/>
  <c r="D39" i="68"/>
  <c r="D37" i="68"/>
  <c r="B19" i="68"/>
  <c r="B20" i="68" s="1"/>
  <c r="F14" i="68"/>
  <c r="F13" i="68"/>
  <c r="F12" i="68"/>
  <c r="F11" i="68"/>
  <c r="F10" i="68"/>
  <c r="F9" i="68"/>
  <c r="F8" i="68"/>
  <c r="F7" i="68"/>
  <c r="B7" i="68"/>
  <c r="B8" i="68" s="1"/>
  <c r="B9" i="68" s="1"/>
  <c r="B10" i="68" s="1"/>
  <c r="B11" i="68" s="1"/>
  <c r="B13" i="68" l="1"/>
  <c r="B14" i="68" s="1"/>
  <c r="B12" i="68"/>
  <c r="D17" i="60" l="1"/>
  <c r="E17" i="55" l="1"/>
  <c r="B5" i="56" l="1"/>
  <c r="A53" i="56"/>
  <c r="A65" i="56" s="1"/>
  <c r="D22" i="56"/>
  <c r="E25" i="55"/>
  <c r="E22" i="55"/>
  <c r="E12" i="55"/>
  <c r="E9" i="55"/>
  <c r="E26" i="55" l="1"/>
  <c r="G26" i="55" s="1"/>
  <c r="H26" i="55" s="1"/>
  <c r="A63" i="56"/>
  <c r="J63" i="56" s="1"/>
  <c r="E27" i="55" l="1"/>
  <c r="E28" i="55" s="1"/>
  <c r="A66" i="56"/>
  <c r="E19" i="56" l="1"/>
  <c r="A55" i="56"/>
  <c r="A78" i="56"/>
  <c r="A76" i="56"/>
  <c r="J76" i="56" s="1"/>
  <c r="A68" i="56"/>
  <c r="A69" i="56" s="1"/>
  <c r="A70" i="55"/>
  <c r="E22" i="56"/>
  <c r="F69" i="56" l="1"/>
  <c r="E69" i="56"/>
  <c r="D69" i="56"/>
  <c r="C69" i="56"/>
  <c r="H69" i="56"/>
  <c r="G69" i="56"/>
  <c r="A70" i="56"/>
  <c r="F68" i="56"/>
  <c r="D68" i="56"/>
  <c r="E68" i="56"/>
  <c r="C68" i="56"/>
  <c r="A56" i="56"/>
  <c r="C55" i="56"/>
  <c r="E55" i="56"/>
  <c r="D55" i="56"/>
  <c r="F55" i="56"/>
  <c r="A82" i="55"/>
  <c r="A80" i="55"/>
  <c r="J81" i="55" s="1"/>
  <c r="A72" i="55"/>
  <c r="J68" i="56" l="1"/>
  <c r="J55" i="56"/>
  <c r="A73" i="55"/>
  <c r="E72" i="55"/>
  <c r="C72" i="55"/>
  <c r="F73" i="55"/>
  <c r="D72" i="55"/>
  <c r="D56" i="56"/>
  <c r="G56" i="56"/>
  <c r="H56" i="56"/>
  <c r="E56" i="56"/>
  <c r="F56" i="56"/>
  <c r="C56" i="56"/>
  <c r="A57" i="56"/>
  <c r="F70" i="56"/>
  <c r="E70" i="56"/>
  <c r="D70" i="56"/>
  <c r="A71" i="56"/>
  <c r="C70" i="56"/>
  <c r="J69" i="56"/>
  <c r="F50" i="32"/>
  <c r="F30" i="32"/>
  <c r="F51" i="31"/>
  <c r="F30" i="31"/>
  <c r="F50" i="29"/>
  <c r="F29" i="29"/>
  <c r="F49" i="28"/>
  <c r="F29" i="28"/>
  <c r="E41" i="34"/>
  <c r="C41" i="34"/>
  <c r="E39" i="34"/>
  <c r="C39" i="34"/>
  <c r="E37" i="34"/>
  <c r="C37" i="34"/>
  <c r="E25" i="34"/>
  <c r="C25" i="34"/>
  <c r="E23" i="34"/>
  <c r="C23" i="34"/>
  <c r="E21" i="34"/>
  <c r="C21" i="34"/>
  <c r="E19" i="34"/>
  <c r="C19" i="34"/>
  <c r="F19" i="34" s="1"/>
  <c r="E17" i="34"/>
  <c r="C17" i="34"/>
  <c r="E15" i="34"/>
  <c r="C15" i="34"/>
  <c r="E13" i="34"/>
  <c r="C13" i="34"/>
  <c r="E41" i="33"/>
  <c r="F41" i="33" s="1"/>
  <c r="C41" i="33"/>
  <c r="E39" i="33"/>
  <c r="C39" i="33"/>
  <c r="E37" i="33"/>
  <c r="C37" i="33"/>
  <c r="E25" i="33"/>
  <c r="F25" i="33" s="1"/>
  <c r="C25" i="33"/>
  <c r="E23" i="33"/>
  <c r="C23" i="33"/>
  <c r="F23" i="33" s="1"/>
  <c r="E21" i="33"/>
  <c r="F21" i="33" s="1"/>
  <c r="C21" i="33"/>
  <c r="E19" i="33"/>
  <c r="C19" i="33"/>
  <c r="E17" i="33"/>
  <c r="F17" i="33" s="1"/>
  <c r="C17" i="33"/>
  <c r="E15" i="33"/>
  <c r="F15" i="33" s="1"/>
  <c r="C15" i="33"/>
  <c r="E13" i="33"/>
  <c r="C13" i="33"/>
  <c r="E45" i="32"/>
  <c r="C45" i="32"/>
  <c r="F45" i="32" s="1"/>
  <c r="E43" i="32"/>
  <c r="C43" i="32"/>
  <c r="E41" i="32"/>
  <c r="C41" i="32"/>
  <c r="E25" i="32"/>
  <c r="C25" i="32"/>
  <c r="E23" i="32"/>
  <c r="C23" i="32"/>
  <c r="E21" i="32"/>
  <c r="C21" i="32"/>
  <c r="E19" i="32"/>
  <c r="C19" i="32"/>
  <c r="E17" i="32"/>
  <c r="C17" i="32"/>
  <c r="E15" i="32"/>
  <c r="C15" i="32"/>
  <c r="E13" i="32"/>
  <c r="C13" i="32"/>
  <c r="E46" i="31"/>
  <c r="C46" i="31"/>
  <c r="E44" i="31"/>
  <c r="C44" i="31"/>
  <c r="E42" i="31"/>
  <c r="C42" i="31"/>
  <c r="E25" i="31"/>
  <c r="C25" i="31"/>
  <c r="F25" i="31" s="1"/>
  <c r="E23" i="31"/>
  <c r="C23" i="31"/>
  <c r="E21" i="31"/>
  <c r="C21" i="31"/>
  <c r="E19" i="31"/>
  <c r="C19" i="31"/>
  <c r="F19" i="31" s="1"/>
  <c r="E17" i="31"/>
  <c r="C17" i="31"/>
  <c r="E15" i="31"/>
  <c r="C15" i="31"/>
  <c r="E13" i="31"/>
  <c r="C13" i="31"/>
  <c r="H55" i="30"/>
  <c r="I53" i="30"/>
  <c r="J53" i="30" s="1"/>
  <c r="H53" i="30"/>
  <c r="H51" i="30"/>
  <c r="I51" i="30" s="1"/>
  <c r="K51" i="30" s="1"/>
  <c r="H49" i="30"/>
  <c r="G41" i="30"/>
  <c r="I41" i="30" s="1"/>
  <c r="F41" i="30"/>
  <c r="E41" i="30"/>
  <c r="G39" i="30"/>
  <c r="F39" i="30"/>
  <c r="E39" i="30"/>
  <c r="G37" i="30"/>
  <c r="F37" i="30"/>
  <c r="E37" i="30"/>
  <c r="G25" i="30"/>
  <c r="F25" i="30"/>
  <c r="E25" i="30"/>
  <c r="G23" i="30"/>
  <c r="F23" i="30"/>
  <c r="E23" i="30"/>
  <c r="G21" i="30"/>
  <c r="F21" i="30"/>
  <c r="I21" i="30" s="1"/>
  <c r="E21" i="30"/>
  <c r="G19" i="30"/>
  <c r="F19" i="30"/>
  <c r="E19" i="30"/>
  <c r="G17" i="30"/>
  <c r="F17" i="30"/>
  <c r="E17" i="30"/>
  <c r="G15" i="30"/>
  <c r="F15" i="30"/>
  <c r="E15" i="30"/>
  <c r="G13" i="30"/>
  <c r="F13" i="30"/>
  <c r="E13" i="30"/>
  <c r="A4" i="30"/>
  <c r="E45" i="29"/>
  <c r="C45" i="29"/>
  <c r="F45" i="29" s="1"/>
  <c r="E43" i="29"/>
  <c r="C43" i="29"/>
  <c r="E41" i="29"/>
  <c r="C41" i="29"/>
  <c r="E24" i="29"/>
  <c r="C24" i="29"/>
  <c r="E22" i="29"/>
  <c r="C22" i="29"/>
  <c r="E20" i="29"/>
  <c r="C20" i="29"/>
  <c r="E18" i="29"/>
  <c r="C18" i="29"/>
  <c r="E16" i="29"/>
  <c r="C16" i="29"/>
  <c r="E14" i="29"/>
  <c r="C14" i="29"/>
  <c r="E12" i="29"/>
  <c r="C12" i="29"/>
  <c r="E44" i="28"/>
  <c r="C44" i="28"/>
  <c r="E42" i="28"/>
  <c r="C42" i="28"/>
  <c r="E40" i="28"/>
  <c r="C40" i="28"/>
  <c r="E24" i="28"/>
  <c r="C24" i="28"/>
  <c r="E22" i="28"/>
  <c r="C22" i="28"/>
  <c r="E20" i="28"/>
  <c r="C20" i="28"/>
  <c r="E18" i="28"/>
  <c r="C18" i="28"/>
  <c r="F18" i="28" s="1"/>
  <c r="E16" i="28"/>
  <c r="C16" i="28"/>
  <c r="E14" i="28"/>
  <c r="C14" i="28"/>
  <c r="E12" i="28"/>
  <c r="C12" i="28"/>
  <c r="F12" i="28" s="1"/>
  <c r="F37" i="34"/>
  <c r="F17" i="34"/>
  <c r="F25" i="34"/>
  <c r="F13" i="34"/>
  <c r="F13" i="33"/>
  <c r="F19" i="33"/>
  <c r="F15" i="34" l="1"/>
  <c r="H25" i="30"/>
  <c r="F20" i="29"/>
  <c r="H17" i="30"/>
  <c r="I17" i="30"/>
  <c r="F14" i="28"/>
  <c r="I19" i="30"/>
  <c r="F39" i="33"/>
  <c r="F23" i="31"/>
  <c r="F21" i="32"/>
  <c r="H23" i="30"/>
  <c r="I39" i="30"/>
  <c r="F16" i="28"/>
  <c r="H19" i="30"/>
  <c r="J19" i="30" s="1"/>
  <c r="F23" i="32"/>
  <c r="I49" i="30"/>
  <c r="J49" i="30" s="1"/>
  <c r="F24" i="28"/>
  <c r="I55" i="30"/>
  <c r="J55" i="30" s="1"/>
  <c r="F40" i="28"/>
  <c r="F22" i="29"/>
  <c r="I37" i="30"/>
  <c r="F15" i="31"/>
  <c r="H41" i="30"/>
  <c r="J41" i="30" s="1"/>
  <c r="H21" i="30"/>
  <c r="K21" i="30" s="1"/>
  <c r="F21" i="31"/>
  <c r="F18" i="29"/>
  <c r="K53" i="30"/>
  <c r="J17" i="30"/>
  <c r="K17" i="30"/>
  <c r="L19" i="30"/>
  <c r="H37" i="30"/>
  <c r="H44" i="30" s="1"/>
  <c r="H70" i="30" s="1"/>
  <c r="J51" i="30"/>
  <c r="F44" i="28"/>
  <c r="F14" i="29"/>
  <c r="I23" i="30"/>
  <c r="F28" i="33"/>
  <c r="L17" i="30"/>
  <c r="H39" i="30"/>
  <c r="J39" i="30"/>
  <c r="H15" i="30"/>
  <c r="F43" i="32"/>
  <c r="F37" i="33"/>
  <c r="F44" i="33" s="1"/>
  <c r="F12" i="29"/>
  <c r="F16" i="29"/>
  <c r="H13" i="30"/>
  <c r="H28" i="30" s="1"/>
  <c r="I15" i="30"/>
  <c r="L15" i="30" s="1"/>
  <c r="F17" i="31"/>
  <c r="F22" i="28"/>
  <c r="F41" i="29"/>
  <c r="F43" i="29"/>
  <c r="I13" i="30"/>
  <c r="F44" i="31"/>
  <c r="F46" i="31"/>
  <c r="F13" i="32"/>
  <c r="F15" i="32"/>
  <c r="F17" i="32"/>
  <c r="F19" i="32"/>
  <c r="F23" i="34"/>
  <c r="F39" i="34"/>
  <c r="F41" i="34"/>
  <c r="F20" i="28"/>
  <c r="F42" i="28"/>
  <c r="F47" i="28" s="1"/>
  <c r="F51" i="28" s="1"/>
  <c r="F24" i="29"/>
  <c r="I25" i="30"/>
  <c r="K25" i="30" s="1"/>
  <c r="F42" i="31"/>
  <c r="F25" i="32"/>
  <c r="F41" i="32"/>
  <c r="F21" i="34"/>
  <c r="J56" i="56"/>
  <c r="J73" i="55"/>
  <c r="J70" i="56"/>
  <c r="A72" i="56"/>
  <c r="C71" i="56"/>
  <c r="F71" i="56"/>
  <c r="D71" i="56"/>
  <c r="A58" i="56"/>
  <c r="D57" i="56"/>
  <c r="E57" i="56"/>
  <c r="C57" i="56"/>
  <c r="F57" i="56"/>
  <c r="A74" i="55"/>
  <c r="G65" i="55"/>
  <c r="H74" i="55"/>
  <c r="F74" i="55"/>
  <c r="E73" i="55"/>
  <c r="D73" i="55"/>
  <c r="C73" i="55"/>
  <c r="J23" i="30"/>
  <c r="K23" i="30"/>
  <c r="L23" i="30"/>
  <c r="L25" i="30"/>
  <c r="F13" i="31"/>
  <c r="F28" i="34" l="1"/>
  <c r="K39" i="30"/>
  <c r="L13" i="30"/>
  <c r="I44" i="30"/>
  <c r="H72" i="30" s="1"/>
  <c r="F48" i="32"/>
  <c r="F52" i="32" s="1"/>
  <c r="H74" i="30"/>
  <c r="F48" i="29"/>
  <c r="F52" i="29" s="1"/>
  <c r="K41" i="30"/>
  <c r="F27" i="29"/>
  <c r="F31" i="29" s="1"/>
  <c r="G57" i="29" s="1"/>
  <c r="J21" i="30"/>
  <c r="L21" i="30"/>
  <c r="L28" i="30" s="1"/>
  <c r="L39" i="30"/>
  <c r="K19" i="30"/>
  <c r="F49" i="31"/>
  <c r="F53" i="31" s="1"/>
  <c r="F27" i="28"/>
  <c r="F31" i="28" s="1"/>
  <c r="E56" i="28" s="1"/>
  <c r="F44" i="34"/>
  <c r="K13" i="30"/>
  <c r="J57" i="30"/>
  <c r="H62" i="30" s="1"/>
  <c r="L41" i="30"/>
  <c r="F28" i="31"/>
  <c r="F32" i="31" s="1"/>
  <c r="J13" i="30"/>
  <c r="J25" i="30"/>
  <c r="K55" i="30"/>
  <c r="K49" i="30"/>
  <c r="J15" i="30"/>
  <c r="J37" i="30"/>
  <c r="L37" i="30"/>
  <c r="K37" i="30"/>
  <c r="K15" i="30"/>
  <c r="I28" i="30"/>
  <c r="H64" i="30" s="1"/>
  <c r="F28" i="32"/>
  <c r="F32" i="32" s="1"/>
  <c r="J74" i="55"/>
  <c r="J57" i="56"/>
  <c r="E74" i="55"/>
  <c r="A75" i="55"/>
  <c r="C74" i="55"/>
  <c r="F75" i="55"/>
  <c r="D74" i="55"/>
  <c r="C58" i="56"/>
  <c r="A59" i="56"/>
  <c r="F58" i="56"/>
  <c r="D58" i="56"/>
  <c r="E71" i="56"/>
  <c r="J71" i="56" s="1"/>
  <c r="C72" i="56"/>
  <c r="A73" i="56"/>
  <c r="H72" i="56"/>
  <c r="G72" i="56"/>
  <c r="F72" i="56"/>
  <c r="E72" i="56"/>
  <c r="D72" i="56"/>
  <c r="G59" i="29"/>
  <c r="E59" i="29"/>
  <c r="E55" i="28" s="1"/>
  <c r="H35" i="29"/>
  <c r="E57" i="28"/>
  <c r="E61" i="29"/>
  <c r="N15" i="30"/>
  <c r="M13" i="30"/>
  <c r="N13" i="30"/>
  <c r="E57" i="29" l="1"/>
  <c r="E54" i="28" s="1"/>
  <c r="J28" i="30"/>
  <c r="J44" i="30" s="1"/>
  <c r="E55" i="29"/>
  <c r="H56" i="28"/>
  <c r="M15" i="30"/>
  <c r="M17" i="30" s="1"/>
  <c r="N19" i="30" s="1"/>
  <c r="N21" i="30" s="1"/>
  <c r="N23" i="30" s="1"/>
  <c r="N25" i="30" s="1"/>
  <c r="N27" i="30" s="1"/>
  <c r="N28" i="30" s="1"/>
  <c r="G55" i="29"/>
  <c r="G54" i="28"/>
  <c r="H54" i="28" s="1"/>
  <c r="K28" i="30"/>
  <c r="K57" i="30"/>
  <c r="K44" i="30"/>
  <c r="L44" i="30"/>
  <c r="H66" i="30"/>
  <c r="G61" i="29"/>
  <c r="H59" i="29"/>
  <c r="I60" i="29" s="1"/>
  <c r="D75" i="55"/>
  <c r="A76" i="55"/>
  <c r="E75" i="55" s="1"/>
  <c r="C75" i="55"/>
  <c r="F76" i="55"/>
  <c r="E73" i="56"/>
  <c r="A74" i="56"/>
  <c r="C73" i="56"/>
  <c r="F73" i="56"/>
  <c r="D73" i="56"/>
  <c r="J72" i="56"/>
  <c r="E58" i="56"/>
  <c r="J58" i="56" s="1"/>
  <c r="D59" i="56"/>
  <c r="A60" i="56"/>
  <c r="G59" i="56"/>
  <c r="C59" i="56"/>
  <c r="H59" i="56"/>
  <c r="E59" i="56"/>
  <c r="F59" i="56"/>
  <c r="J75" i="55"/>
  <c r="N37" i="30"/>
  <c r="N39" i="30" s="1"/>
  <c r="M41" i="30" s="1"/>
  <c r="M43" i="30" s="1"/>
  <c r="M44" i="30" s="1"/>
  <c r="J76" i="55" l="1"/>
  <c r="J59" i="56"/>
  <c r="J73" i="56"/>
  <c r="F74" i="56"/>
  <c r="D74" i="56"/>
  <c r="E74" i="56"/>
  <c r="A75" i="56"/>
  <c r="C74" i="56"/>
  <c r="E60" i="56"/>
  <c r="A61" i="56"/>
  <c r="C60" i="56"/>
  <c r="F60" i="56"/>
  <c r="D60" i="56"/>
  <c r="C76" i="55"/>
  <c r="A77" i="55"/>
  <c r="G68" i="55"/>
  <c r="H77" i="55"/>
  <c r="F77" i="55"/>
  <c r="E76" i="55"/>
  <c r="D76" i="55"/>
  <c r="J74" i="56" l="1"/>
  <c r="C77" i="55"/>
  <c r="F78" i="55"/>
  <c r="A78" i="55"/>
  <c r="D77" i="55"/>
  <c r="E77" i="55"/>
  <c r="J60" i="56"/>
  <c r="E75" i="56"/>
  <c r="D75" i="56"/>
  <c r="C75" i="56"/>
  <c r="H75" i="56"/>
  <c r="G75" i="56"/>
  <c r="F75" i="56"/>
  <c r="J77" i="55"/>
  <c r="E61" i="56"/>
  <c r="A62" i="56"/>
  <c r="C61" i="56"/>
  <c r="F61" i="56"/>
  <c r="D61" i="56"/>
  <c r="J75" i="56" l="1"/>
  <c r="E78" i="56" s="1"/>
  <c r="B20" i="56" s="1"/>
  <c r="J61" i="56"/>
  <c r="F62" i="56"/>
  <c r="C62" i="56"/>
  <c r="D62" i="56"/>
  <c r="G62" i="56"/>
  <c r="H62" i="56"/>
  <c r="E62" i="56"/>
  <c r="C78" i="55"/>
  <c r="A79" i="55"/>
  <c r="F79" i="55"/>
  <c r="D78" i="55"/>
  <c r="J78" i="55"/>
  <c r="J62" i="56" l="1"/>
  <c r="E65" i="56" s="1"/>
  <c r="E78" i="55"/>
  <c r="J79" i="55" s="1"/>
  <c r="F80" i="55"/>
  <c r="C79" i="55"/>
  <c r="D79" i="55"/>
  <c r="G71" i="55"/>
  <c r="H80" i="55"/>
  <c r="E79" i="55"/>
  <c r="J80" i="55" l="1"/>
  <c r="E82" i="55" s="1"/>
  <c r="B24" i="56" s="1"/>
</calcChain>
</file>

<file path=xl/sharedStrings.xml><?xml version="1.0" encoding="utf-8"?>
<sst xmlns="http://schemas.openxmlformats.org/spreadsheetml/2006/main" count="1290" uniqueCount="438">
  <si>
    <t>Razem</t>
  </si>
  <si>
    <t>I</t>
  </si>
  <si>
    <t>x</t>
  </si>
  <si>
    <t>II</t>
  </si>
  <si>
    <t>Inwestor:</t>
  </si>
  <si>
    <t>Słownie:</t>
  </si>
  <si>
    <t>Oznaczenie elementu</t>
  </si>
  <si>
    <t>Wyszczególnienie</t>
  </si>
  <si>
    <t xml:space="preserve">Wartość netto 
(PLN) </t>
  </si>
  <si>
    <t>KOSZT DOSTOSOWANIA SIĘ DO WYMAGAŃ WARUNKÓW KONTRAKTU</t>
  </si>
  <si>
    <t>D</t>
  </si>
  <si>
    <t>E</t>
  </si>
  <si>
    <t>A</t>
  </si>
  <si>
    <t>B</t>
  </si>
  <si>
    <t>C</t>
  </si>
  <si>
    <t>F</t>
  </si>
  <si>
    <t>G</t>
  </si>
  <si>
    <t>PODATEK VAT 23%</t>
  </si>
  <si>
    <t>Lp</t>
  </si>
  <si>
    <t>2.</t>
  </si>
  <si>
    <t>3.</t>
  </si>
  <si>
    <t>H</t>
  </si>
  <si>
    <t>WYMAGANIA OGÓLNE (DZIAŁ OGÓLNY)</t>
  </si>
  <si>
    <t>DROGOWA</t>
  </si>
  <si>
    <t>RAZEM [I]</t>
  </si>
  <si>
    <t>RAZEM [II]</t>
  </si>
  <si>
    <t>Tabela Nr 4</t>
  </si>
  <si>
    <t xml:space="preserve">TABELA ZDJĘCIA HUMUSU </t>
  </si>
  <si>
    <t>CHODNIK W CIĄGU DW NR 987</t>
  </si>
  <si>
    <t>Km</t>
  </si>
  <si>
    <t>Hm</t>
  </si>
  <si>
    <t>Odległości</t>
  </si>
  <si>
    <t>Zdjęcie humusu gr. 15 cm i darniny gr. 10 cm</t>
  </si>
  <si>
    <t>Szerokość [m]</t>
  </si>
  <si>
    <t>Szerokość średnia    
[m]</t>
  </si>
  <si>
    <t>Powierzchnia                 [m2]</t>
  </si>
  <si>
    <t>CHODNIK W CIĄGU DP NR 1333R</t>
  </si>
  <si>
    <t>RAZEM:</t>
  </si>
  <si>
    <t>ZJAZDY:</t>
  </si>
  <si>
    <t>ZW0</t>
  </si>
  <si>
    <t>ZW1</t>
  </si>
  <si>
    <t>ZW2</t>
  </si>
  <si>
    <t>ZP1</t>
  </si>
  <si>
    <t>ZP2</t>
  </si>
  <si>
    <r>
      <t>m</t>
    </r>
    <r>
      <rPr>
        <vertAlign val="superscript"/>
        <sz val="9"/>
        <rFont val="Arial CE"/>
        <charset val="238"/>
      </rPr>
      <t>2</t>
    </r>
  </si>
  <si>
    <t>Tabela Nr 5</t>
  </si>
  <si>
    <t>TABELA HUMUSOWANIA</t>
  </si>
  <si>
    <t>humusowanie gr. warstwy  proj. humusu 10cm</t>
  </si>
  <si>
    <t>Objętość zdjętego humusu wg tabeli nr 4 warstwa gr. 15cm.</t>
  </si>
  <si>
    <r>
      <t>m</t>
    </r>
    <r>
      <rPr>
        <vertAlign val="superscript"/>
        <sz val="9"/>
        <rFont val="Arial CE"/>
        <charset val="238"/>
      </rPr>
      <t>3</t>
    </r>
  </si>
  <si>
    <t>Powierzchnia humusu przeznacozna do usunięcia i wywiezienia na odkład przez Wykonawcę</t>
  </si>
  <si>
    <t xml:space="preserve">TABELA ROBÓT ZIEMNYCH                         </t>
  </si>
  <si>
    <t>Powierzchnia</t>
  </si>
  <si>
    <t>Średnia powierzchnia</t>
  </si>
  <si>
    <t>Odległość (m)</t>
  </si>
  <si>
    <t>Objętość</t>
  </si>
  <si>
    <t>Zyżycie na miejscu [m3]</t>
  </si>
  <si>
    <t>Nadmiar objętości</t>
  </si>
  <si>
    <t>Suma alg.</t>
  </si>
  <si>
    <t>Wykop</t>
  </si>
  <si>
    <t>Nasyp</t>
  </si>
  <si>
    <t>+</t>
  </si>
  <si>
    <t>-</t>
  </si>
  <si>
    <t>[m2]</t>
  </si>
  <si>
    <t>[m3]</t>
  </si>
  <si>
    <t>a</t>
  </si>
  <si>
    <t>b</t>
  </si>
  <si>
    <t>c</t>
  </si>
  <si>
    <t>d</t>
  </si>
  <si>
    <t>e</t>
  </si>
  <si>
    <t>f</t>
  </si>
  <si>
    <t>g</t>
  </si>
  <si>
    <t>Razem:</t>
  </si>
  <si>
    <t>Wykop
[m3]</t>
  </si>
  <si>
    <t>Nasyp
[m3]</t>
  </si>
  <si>
    <t>Bilans [m3]</t>
  </si>
  <si>
    <t>Wykonanie studni kanalizacyjnych przelotowych betonowych ø120 cm - 4,0 sztuk (wykopy i nasypy niezbedne dla wykonania kanału deszcozwego ujęto w ilościach wykazanych w tabeli robót ziemnych)</t>
  </si>
  <si>
    <t>Wykonanie studni kanalizacyjnej połączeniowej o średnicy ø150 cm w gotowym wykopie - 1,0 sztuka</t>
  </si>
  <si>
    <t>Wykonanie przykanalików deszczowych - 11mb</t>
  </si>
  <si>
    <t>Wykonanie studzienek ściekowych ø50cm - 4,0 sztuk</t>
  </si>
  <si>
    <t>WYKOPY OGÓŁEM [m3]</t>
  </si>
  <si>
    <t>NASYPY OGÓŁEM [m3]</t>
  </si>
  <si>
    <t>NADMIAR GRUNTU PRZEZNACOZNY NA ODKŁAD [m3]</t>
  </si>
  <si>
    <t>Tabela nr 7</t>
  </si>
  <si>
    <t>WYKONANIE KORYTA</t>
  </si>
  <si>
    <t>Wykonanie koryta o gł. śr. 55cm</t>
  </si>
  <si>
    <t>Tabela nr 8</t>
  </si>
  <si>
    <t>WYKONANIE WARSTWY ODCINAJĄCEJ</t>
  </si>
  <si>
    <t>Warstwa odcinająca z pospółki gr. 10cm</t>
  </si>
  <si>
    <t>Tabela nr 9</t>
  </si>
  <si>
    <t>WYKONANIE WARSTWY WIĄŻĄCEJ 
Z BETONU ASFALTOWEGO AC 16W</t>
  </si>
  <si>
    <t>Warstwa wiążaca z betonu asfaltowego gr. 7cm</t>
  </si>
  <si>
    <t>Tabela nr 10</t>
  </si>
  <si>
    <t>WYKONANIE WARSTWY ŚCIERALNEJ
Z BETONU ASFALTOWEGO AC 11S</t>
  </si>
  <si>
    <t>Warstwa ścieralna z betonu asfaltowego gr. 5cm</t>
  </si>
  <si>
    <t>Tabela Nr 6</t>
  </si>
  <si>
    <t>PRZEBUDOWA DROGI WOJEWÓDZKIEJ NR 987 KOLBUSZOWA – SĘDZISZÓW MAŁOPOLSKI POLEGAJĄCA NA BUDOWIE CHODNIKA DLA PIESZYCH W KM 13+788 ÷ 13+940 STRONA LEWA W MIEJSCOWOŚCI CZARNA SĘDZISZOWSKA</t>
  </si>
  <si>
    <t>OGÓŁEM DW:</t>
  </si>
  <si>
    <t>OGÓŁEM DP:</t>
  </si>
  <si>
    <t>Humus do ponownego wykorzystnia na miejscu  warstwa gr. 10 cm w ciągu DP.</t>
  </si>
  <si>
    <t>Wykorzystanie humusu na miejscu wg. tabeli nr 5 warstwa gr. 10 cm - DP</t>
  </si>
  <si>
    <t>Wykorzystanie humusu na miejscu wg. tabeli nr 5 warstwa gr. 10 cm - DW</t>
  </si>
  <si>
    <t>Humus do ponownego wykorzystnia na miejscu  warstwa gr. 10 cm w ciagu DW.</t>
  </si>
  <si>
    <t>Powierzchnia humusu do zdjęcia i wywiezienia na odkład warstwa gr. 15 cm - DW</t>
  </si>
  <si>
    <t>Powierzchnia humusu do zdjęcia i wywiezienia na odkład warstwa gr. 15 cm - DP</t>
  </si>
  <si>
    <t xml:space="preserve">Roboty ziemne związane z wykonaniem kanału deszczowego i studzieniek ściekowych w ciągu DW </t>
  </si>
  <si>
    <t>BILANS MAS ZIEMNYCH W CIĄGU DW NR 987</t>
  </si>
  <si>
    <t>BILANS MAS ZIEMNYCH W CIĄGU DP NR 1333R</t>
  </si>
  <si>
    <t>jeżeli "naście"</t>
  </si>
  <si>
    <t>0-5</t>
  </si>
  <si>
    <t>6-9</t>
  </si>
  <si>
    <t>dodatek</t>
  </si>
  <si>
    <t>sumuj te ciągi</t>
  </si>
  <si>
    <t>mgr inż.Tomasz Mroczek
mgr inż. Roman Charchut</t>
  </si>
  <si>
    <t>Branża:</t>
  </si>
  <si>
    <t>Kalkulację sporządził:</t>
  </si>
  <si>
    <t>Data opracowania kalkulacji:</t>
  </si>
  <si>
    <t>.............................</t>
  </si>
  <si>
    <t>Sporządził:</t>
  </si>
  <si>
    <t>Aktualizacje Kosztorysu Inwestorskiego</t>
  </si>
  <si>
    <t>1. styczeń 2015 r.</t>
  </si>
  <si>
    <t xml:space="preserve">SZACUNKOWA KALKULACJA KOSZTÓW </t>
  </si>
  <si>
    <t>X</t>
  </si>
  <si>
    <t>DOKUMENTY WYKONAWCY</t>
  </si>
  <si>
    <t>PRZEBUDOWA / ROZBUDOWA DROGI GMINNEJ (ROBOTY DROGOWE)</t>
  </si>
  <si>
    <t>ROBOTY ZIEMNE
- Wykonanie wykopów i nasypów,</t>
  </si>
  <si>
    <t xml:space="preserve">
ROBOTY  PRZYGOTOWAWCZE
- Wyznaczenei trasy i punktów wysokościowych w terenie,
- Wycinka i karczowanie drzew i krzewów,
- Zdjęcie warstwy humusu,
- Rozbiórki elementów dróg, przepustów, ogrodzeń i furtek, demontaż istn. oznakowania,
</t>
  </si>
  <si>
    <t>OZNAKOWANIE DRÓG I URZĄDZENIA BEZPIECZEŃSTWA RUCHU
- Montaż oznakowania pionowego
- Montaż barier ochronnych
- Wykonanie oznakowania poziomego</t>
  </si>
  <si>
    <t>PRZEBUDOWA I ZABEZPIECZENIE ISTNIEJĄCYCH SIECI UZBROJENIA TERENU
(ROBOTY BRANŻOWE)</t>
  </si>
  <si>
    <t xml:space="preserve">ROBOTY BUDOWLANE W ZAKRESIE ISTNIEJĄCYCH SIECI </t>
  </si>
  <si>
    <r>
      <t xml:space="preserve">
Dokumentacja Projektowa opracowywana przez Wykonawcę:
</t>
    </r>
    <r>
      <rPr>
        <i/>
        <sz val="10"/>
        <rFont val="Arial"/>
        <family val="2"/>
        <charset val="238"/>
      </rPr>
      <t>- Materiały geodezyjne - mapa do celów projektowych, wypisy i wyrysy z ewidencji gruntów, projekty podziału gruntów
  w zalezności od potrzeb,
- Dokumentacja Geotechniczna/Geologiczno - Inzynierska w zależności od potrzeb,
- Projekt Budowlany dla wszystkich branż wraz z kompletem niezbędnych decyzji opinii i uzgodnień
- Wniosek o wydanie pozwolenie na budowę wraz z uzyskaniem decyzji o pozwoleniu na budowę (w zależności od potrzeb) 
- Materiały do wniosku o ZRID wraz ze złożeniem wniosku i uzyskaniem decyzji ZRID (w zależności od potrzeb)
- Projekt Wykonawczy, Projekty stałej i tymczasowej organizacji ruchu, STWiORB, projekty branżowe, projekty technologiczne
  i inne w zalezności od potrzeb</t>
    </r>
    <r>
      <rPr>
        <i/>
        <sz val="12"/>
        <rFont val="Arial"/>
        <family val="2"/>
        <charset val="238"/>
      </rPr>
      <t xml:space="preserve">
</t>
    </r>
  </si>
  <si>
    <t>RAZEM [III]</t>
  </si>
  <si>
    <t>IV</t>
  </si>
  <si>
    <t>RAZEM [IV]</t>
  </si>
  <si>
    <t>GMINA WIELOPOLE SKRZYŃSKIE
POWIAT ROPCZYCKO - SĘDZISZOWSKI
WOJ. PODKARPACKIE</t>
  </si>
  <si>
    <t>SZACUNKOWA KALKULACJA KOSZTÓW</t>
  </si>
  <si>
    <t>J</t>
  </si>
  <si>
    <t>GMINA WIELOPOLE SKRZYŃSKIE
WIELOPOLE SKRZYŃSKIE 200
39-110 WIELOPOLE SKRZYŃSKIE</t>
  </si>
  <si>
    <t>OGÓŁEM SZACUNKOWA WARTOŚĆ ROBÓT BRUTTO</t>
  </si>
  <si>
    <t>Wartość szacunkowa robót  (netto):</t>
  </si>
  <si>
    <t>Ogółem szacunkowa wartość robót (brutto):</t>
  </si>
  <si>
    <t>K</t>
  </si>
  <si>
    <t>Numer i relacja drogi gminnej oraz planowany zakres robót:</t>
  </si>
  <si>
    <t>Nazwa obiektu:</t>
  </si>
  <si>
    <t>Adres obiektu:</t>
  </si>
  <si>
    <t>grudzień 2015 r.</t>
  </si>
  <si>
    <t xml:space="preserve">
Droga gminna nr 107718 R Brzeziny – Dół Północny
km od 0+000 do km 4+927
</t>
  </si>
  <si>
    <t xml:space="preserve">
NAWIERZCHNIE
- Wykonanie poszerzenia jezdni, wykonanie warstwy profilowej i warstwy ścieralnej lokalne naprawy istniejącej
   nawierzchni odcinek od km 0+000 do km 1+000
- Wykonanie nowych warstw nawierzchni bitumicznej, warstwa wiążąca i warstwa ścieralna na całej szerokości 
   jezdni od km 1+000 do km 4+927
</t>
  </si>
  <si>
    <t xml:space="preserve">ODWODNIENIE KORPUSU DROGOWEGO
- Odtworzenie rowów przydrożnych, umocnienie skarp i dna rowów elementami prefabrykowanymi,
- Sprawdzenie stanu technicznego, oczyszczenie i udrożnienie, przebudowa istniejących lub budowa 
  nowych przepustów (w zależności od potrzeb),
- Roboty konserwacyjne na istniejących rowach - odmulenie regulacja skarp na całej długości odcinka,
</t>
  </si>
  <si>
    <t>ROBOTY  WYKOŃCZENIOWE
- Plantowanie terenu, humusowanie,
- Scinanie i uzpełnianie poboczy,
- Odtworzenie zjazdów i zapewnienie dostepu do sąsiednich działek i pól uprawnych</t>
  </si>
  <si>
    <t xml:space="preserve">PODBUDOWY
- Wykonanie koryta i warstw konstrukcyjnych na poszerzeniach jezdni dcinek od km 0+000 do km 0+1+000
- Wykonanie koryta i warstw konstrukcyjnych na całej szerokości jedni odcinek od km 1+000 do km 4+927
  </t>
  </si>
  <si>
    <t xml:space="preserve">
ZATOKI POSTOJOWE
- Wykonanie 2 zatok postojowych wraz z peronem w lokalizacjach uzgodnionych z Zamawiającym
</t>
  </si>
  <si>
    <t xml:space="preserve">SZACUNKOWA WARTOŚĆ ROBÓT NETTO [I+II+III+IV] </t>
  </si>
  <si>
    <t>Drogowa</t>
  </si>
  <si>
    <t>01.2018 r.</t>
  </si>
  <si>
    <t>mgr inż. Barbara Kawalec</t>
  </si>
  <si>
    <t>Opracował</t>
  </si>
  <si>
    <t>1.</t>
  </si>
  <si>
    <t>Nr uprawnień</t>
  </si>
  <si>
    <t>Podpis</t>
  </si>
  <si>
    <t>Data</t>
  </si>
  <si>
    <t>Imię i Nazwisko</t>
  </si>
  <si>
    <t>Lp.</t>
  </si>
  <si>
    <t>AUTORZY OPRACOWANIA:</t>
  </si>
  <si>
    <t>INWESTOR:</t>
  </si>
  <si>
    <t>CZĘŚĆ</t>
  </si>
  <si>
    <t>DZIAŁKI NR EWID.:</t>
  </si>
  <si>
    <t>WOJEWÓDZTWO PODKARPACKIE</t>
  </si>
  <si>
    <t>POWIAT ROPCZYCKO - SĘDZISZOWSKI</t>
  </si>
  <si>
    <t>ADRES OBIEKTÓW:</t>
  </si>
  <si>
    <t>OBIEKTY:</t>
  </si>
  <si>
    <t>NAZWA ZADANIA:</t>
  </si>
  <si>
    <r>
      <t>RODZAJ OPRACOWANIA</t>
    </r>
    <r>
      <rPr>
        <i/>
        <sz val="12"/>
        <rFont val="Arial"/>
        <family val="2"/>
        <charset val="238"/>
      </rPr>
      <t>:</t>
    </r>
  </si>
  <si>
    <t xml:space="preserve">
PROGRAM
 FUNKCJONALNO-UŻYTKOWY
</t>
  </si>
  <si>
    <t>ZAPROJEKTOWANIE I BUDOWA DROGI GMINNEJ – PRZEDŁUŻENIE UL. PRZEMYSŁOWEJ – ODCINEK „A” 
O DŁUGOŚCI OK 1220 M, ODCINEK „B” 
O DŁUGOŚCI OKOŁO 100 M ORAZ ZAPROJEKTOWANIE 
I PRZEBUDOWA ODCINKA UL. PRZEMYSŁOWEJ OD KM 0+555,00 DO KM 0+788,00 WRAZ Z NIEZBĘDNĄ INFRASTRUKTURĄ I PRZEBUDOWĄ SIECI UZBROJENIA TERENU W MIEŚCIE ROPCZYCE</t>
  </si>
  <si>
    <t>GMINA ROPCZYCE, POWIAT ROPCZYCKO - SĘDZISZOWSKI
WOJEWÓDZTWO PODKARPACKIE</t>
  </si>
  <si>
    <t>GMINA ROPCZYCE
WOJEWÓDZTWO PODKARPACKIE</t>
  </si>
  <si>
    <t>ZBIORCZE ZESTAWIENIE KOSZTÓW</t>
  </si>
  <si>
    <t xml:space="preserve">UL. KRISEGO 1 </t>
  </si>
  <si>
    <t>39 – 100 ROPCZYCE</t>
  </si>
  <si>
    <t>Funkcja</t>
  </si>
  <si>
    <t>ISTNIEJĄCA DROGA GMINNA NR 107558R UL. PRZEMYSŁOWA ORAZ NOWOPROJEKTOWANY ODCINEK DROGI GMINNEJ STANOWIĄCY PRZEDŁUŻENIE UL. PRZEMYSŁOWEJ</t>
  </si>
  <si>
    <t>Rzeszów, maj 2020 r.</t>
  </si>
  <si>
    <t>05.2020 r.</t>
  </si>
  <si>
    <t>mgr inż. Roman Charchut
PDK/0061/PWOD/18</t>
  </si>
  <si>
    <t>Poz.</t>
  </si>
  <si>
    <t>Nazwa jednostki</t>
  </si>
  <si>
    <t>Ilość jednostek</t>
  </si>
  <si>
    <t>SST 00.00.00</t>
  </si>
  <si>
    <t>00.00.00</t>
  </si>
  <si>
    <t xml:space="preserve">Koszt dostosowania się do warunków kontraktowych </t>
  </si>
  <si>
    <t>1.1</t>
  </si>
  <si>
    <t>Wykonanie geodezyjnej inwentaryzacji powykonawczej</t>
  </si>
  <si>
    <t>ryczałt</t>
  </si>
  <si>
    <t>1.2</t>
  </si>
  <si>
    <t>Wykonanie i zatwierdzenie projektu oznakowania robót i organizacji ruchu na czas prowadzenia robót (4 egz.) wraz z zakupem, ustawieniem, rozbiórką (po zakończeniu robót) i utrzymaniem oznakowania w trakcie realizacji robót</t>
  </si>
  <si>
    <t>1.3</t>
  </si>
  <si>
    <t>Wykonanie wyznaczenia granic istniejącego pasa drogowego (I.P.D.) w terenie wraz z stabilizacją granic słupkami granicznymi</t>
  </si>
  <si>
    <t>1.4</t>
  </si>
  <si>
    <t>Wykonanie planu bezpieczeństwa i ochrony zdrowia (BIOZ) i programu zapewnienia jakości (PZJ) oraz harmonogramu rzeczowo-finansowego wraz z aktualizacją w czasie robót</t>
  </si>
  <si>
    <t>1.5</t>
  </si>
  <si>
    <t>Wykonanie  powykonawczej dokumentacji odbiorowej (operat kolaudacyjny 2 egz. ) wraz z wersją elektroniczną w zapisie .pdf  na płycie CD</t>
  </si>
  <si>
    <t>1.6</t>
  </si>
  <si>
    <t>Doprowadzenie terenu do stanu pierwotnego oraz oświadczenia stron o przejęciu terenów przyległych do budowy i dzierżawionych/zajmowanych przez Wykonawcę o doprowadzeniu do stanu umożliwiającego użytkowanie zgodnie z jego pierwotnym przeznaczeniem.</t>
  </si>
  <si>
    <t>1.7</t>
  </si>
  <si>
    <t>Wykonanie docelowej organizacji ruchu (oznakowanie pionowe i poziome) zgodnie z wymaganymi standardami, projektem stałej organizacji ruchu</t>
  </si>
  <si>
    <t>Koszt dostosowania się do pozostałych wymagań Warunków Kontraktu,Wymagań Ogólnych zawartych w Specyfikacji Technicznej Wykonania i Odbioru Robót Budowlanych DM.00.00.00 oraz szczegółowych STWiORB. Koszty spełnienia wszystkich warunków (warunki techniczne dla sieci) i wymagań zarządców/właścicieli istniejących i projektowanych sieci uzbrojenia terenu w oparciu o uzgodnienia branżowe załączone do dokumentacji technicznej.</t>
  </si>
  <si>
    <t>RAZEM [A]:</t>
  </si>
  <si>
    <t>SST 01.00.00
CPV 45111000-8</t>
  </si>
  <si>
    <r>
      <t xml:space="preserve">ROBOTY PRZYGOTOWAWCZE
</t>
    </r>
    <r>
      <rPr>
        <sz val="10"/>
        <rFont val="Times New Roman"/>
        <family val="1"/>
        <charset val="238"/>
      </rPr>
      <t>Roboty w zakresie burzenia, roboty ziemne</t>
    </r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</si>
  <si>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</si>
  <si>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</si>
  <si>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01.02.04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</si>
  <si>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</si>
  <si>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color rgb="FFFF0000"/>
        <rFont val="Times New Roman"/>
        <family val="1"/>
        <charset val="238"/>
      </rPr>
      <t>3</t>
    </r>
  </si>
  <si>
    <r>
      <t>m</t>
    </r>
    <r>
      <rPr>
        <b/>
        <vertAlign val="superscript"/>
        <sz val="10"/>
        <color rgb="FFFF0000"/>
        <rFont val="Times New Roman"/>
        <family val="1"/>
        <charset val="238"/>
      </rPr>
      <t>2</t>
    </r>
  </si>
  <si>
    <r>
      <t>m</t>
    </r>
    <r>
      <rPr>
        <vertAlign val="superscript"/>
        <sz val="10"/>
        <color rgb="FFFF0000"/>
        <rFont val="Times New Roman"/>
        <family val="1"/>
        <charset val="238"/>
      </rPr>
      <t>2</t>
    </r>
  </si>
  <si>
    <t>m</t>
  </si>
  <si>
    <t>szt.</t>
  </si>
  <si>
    <r>
      <t>m</t>
    </r>
    <r>
      <rPr>
        <b/>
        <vertAlign val="superscript"/>
        <sz val="10"/>
        <rFont val="Times New Roman"/>
        <family val="1"/>
        <charset val="238"/>
      </rPr>
      <t>3</t>
    </r>
  </si>
  <si>
    <t>SST 02.00.00
CPV 45112000-5</t>
  </si>
  <si>
    <r>
      <t xml:space="preserve">ROBOTY ZIEMNE
</t>
    </r>
    <r>
      <rPr>
        <sz val="10"/>
        <rFont val="Times New Roman"/>
        <family val="1"/>
        <charset val="238"/>
      </rPr>
      <t>Roboty w zakresie usuwania gleby</t>
    </r>
  </si>
  <si>
    <t>02.01.01</t>
  </si>
  <si>
    <t>RAZEM [B]:</t>
  </si>
  <si>
    <t>SST 03.00.00
CPV 45231000-5</t>
  </si>
  <si>
    <r>
      <t xml:space="preserve">ODWODNIENIE KORPUSU DROGOWEGO
</t>
    </r>
    <r>
      <rPr>
        <sz val="10"/>
        <rFont val="Times New Roman"/>
        <family val="1"/>
        <charset val="238"/>
      </rPr>
      <t>Roboty budowlane w zakresie budowy rurociągów</t>
    </r>
  </si>
  <si>
    <t>03.01.01</t>
  </si>
  <si>
    <t>Przepusty pod koroną drogi</t>
  </si>
  <si>
    <t>03.01.01.60</t>
  </si>
  <si>
    <t>Wykonanie ścianek czołowych przepustów</t>
  </si>
  <si>
    <r>
      <t>m</t>
    </r>
    <r>
      <rPr>
        <b/>
        <vertAlign val="superscript"/>
        <sz val="10"/>
        <color rgb="FFFF0000"/>
        <rFont val="Times New Roman"/>
        <family val="1"/>
        <charset val="238"/>
      </rPr>
      <t>3</t>
    </r>
  </si>
  <si>
    <t>Wykonanie ścianek czołowych przepustów HDPE o śr.60 z betonu C25/30 z użyciem deskowania, ścianki zbrojone dwoma rzędami siatki stalowej żebrowanej (A-III) fi 12mm co 20cm. Wykonanie wykopów pod podsypkę i fundamenty betonowe ścianek, izolacja R+2P.
Ilość ścianek wg tabeli nr 3: 
&lt;N1=4,0szt&gt; - przepusty na skrzyżowaniu "S3" i "S4"
&lt;N2=2,0szt&gt; - przepust na zakrytym rowie w km 0+036
&lt;Razem: N=6,0szt) 
Ilość materiału wg tabeli nr 3:
&lt;V=2*(0,58+1,71)+0,54+1,57 = 6,69m3&gt; - beton
&lt;F=9,68m2&gt; - pospółka o gr. 20cm
&lt;F=7,92m2&gt; - chudy beton o gr. 10cm</t>
  </si>
  <si>
    <t>Przepusty pod koroną drogi z rur PP</t>
  </si>
  <si>
    <r>
      <rPr>
        <sz val="10"/>
        <rFont val="Times New Roman"/>
        <family val="1"/>
        <charset val="238"/>
      </rPr>
      <t>Wykonanie przedłużenia istniejących przepustów o średnicy 60cm pod skrzyżowaniami z ul. Mehoffera oraz ul. Pułaskiego celem dostosowania ich wylotu do proj. lokalizacji rowu otwartego wraz z docięciem profilu wylotu do kształtu skarpy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&lt;L= 4,5m  &gt; - wg Tabeli nr 3</t>
    </r>
  </si>
  <si>
    <t>RAZEM [C]:</t>
  </si>
  <si>
    <t>SST 04.00.00
CPV 45233000-9</t>
  </si>
  <si>
    <t>Koryto wraz z profilowaniem i zagęszczeniem podłoża</t>
  </si>
  <si>
    <t>RAZEM [D]:</t>
  </si>
  <si>
    <t>SST 05.00.00
CPV 45233000-9</t>
  </si>
  <si>
    <r>
      <t xml:space="preserve">NAWIERZCHNIE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</si>
  <si>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05.01.02</t>
  </si>
  <si>
    <t>Nawierzchnie gruntowe ulepszone</t>
  </si>
  <si>
    <t>05.01.02.43</t>
  </si>
  <si>
    <t>Wykonanie nawierzchni ulepszonej bitumem</t>
  </si>
  <si>
    <t>Uzupełnienie istniejącej ulepszonej nawierzchni na pętli w km 0+668 destruktem z frezowania nawierzchni bitumicznych. Grubość w-wy średnio 10cm.
&lt;F=475,0m2&gt; - wg Tabeli nr 9</t>
  </si>
  <si>
    <t>05.02.01</t>
  </si>
  <si>
    <t>Nawierzchnia z kruszywa łamanego</t>
  </si>
  <si>
    <t>Wykonanie nawierzchni z kruszywa łamanego 0/31,5mm o gr. 20cm:
&lt;F= 138,9 m2&gt; - wg Tabeli nr 1 - Nawierzchnia na zjazdach za chodnikiem, gr. w-wy 20cm</t>
  </si>
  <si>
    <t>05.03.04</t>
  </si>
  <si>
    <t>Nawierzchnie betonowe</t>
  </si>
  <si>
    <t>05.03.04.24</t>
  </si>
  <si>
    <t>Wykonanie nawierzchni betonowej o gr. w-wy 23cm</t>
  </si>
  <si>
    <t>Wykonanie warstwy ścieralnej zatoki autobusowej z betonu cementowego klasy C35/45 ryflowanego i dyblowanego o gr. w-wy 23cm.
&lt;F=114,0m2&gt; - wg Tabeli nr 9</t>
  </si>
  <si>
    <t>05.03.05</t>
  </si>
  <si>
    <t>Nawierzchnia z betonu asfaltowego</t>
  </si>
  <si>
    <t>05.03.05.A</t>
  </si>
  <si>
    <t>t</t>
  </si>
  <si>
    <t>RAZEM [E]:</t>
  </si>
  <si>
    <t>SST 06.00.00
CPV 45233000-9</t>
  </si>
  <si>
    <r>
      <t xml:space="preserve">ROBOTY WYKOŃCZENIOWE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</si>
  <si>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Umocnienie skarp, rowów i ścieków</t>
  </si>
  <si>
    <t>06.01.01.22</t>
  </si>
  <si>
    <t>Humusowanie z obsianiem skarp przy grubości humusu 10 cm</t>
  </si>
  <si>
    <t>06.03.01</t>
  </si>
  <si>
    <t>Ścinanie i uzupełnianie poboczy</t>
  </si>
  <si>
    <t>06.03.01.32</t>
  </si>
  <si>
    <t>RAZEM [F]:</t>
  </si>
  <si>
    <t>SST 07.00.00
CPV 45233000-9</t>
  </si>
  <si>
    <r>
      <t xml:space="preserve">OZNAKOWANIE DRÓG I URZĄDZENIA BEZPIECZEŃSTWA RUCHU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</si>
  <si>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07.02.01</t>
  </si>
  <si>
    <t>Oznakowanie pionowe</t>
  </si>
  <si>
    <t>07.06.02</t>
  </si>
  <si>
    <t>Urządzenia zabezpieczające ruch pieszych</t>
  </si>
  <si>
    <t/>
  </si>
  <si>
    <t>07.06.02.11</t>
  </si>
  <si>
    <t>RAZEM [G]:</t>
  </si>
  <si>
    <t>SST 08.00.00
CPV 45233000-9</t>
  </si>
  <si>
    <r>
      <t xml:space="preserve">ELEMENTY ULIC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</si>
  <si>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Ustawienie krawężników betonowych drogowych o wym. 20x30cm  na podsypce cementowo - piaskowej o gr. 5cm i ławie betonowej C16/20 (V=0,14m3/m).
&lt;L=85,0*0,8=68,0m&gt; - wg Tabeli nr 2</t>
  </si>
  <si>
    <t>m2</t>
  </si>
  <si>
    <t>RAZEM [H]:</t>
  </si>
  <si>
    <t>RAZEM [I]:</t>
  </si>
  <si>
    <t>PODATEK VAT 23%:</t>
  </si>
  <si>
    <t>OGÓŁEM WARTOŚĆ KOSZTORYSOWA ROBÓT BRUTTO:</t>
  </si>
  <si>
    <t>Wytyczenie proj. robót w terenie oczyszczenie i przygotowanie pasa drogowego</t>
  </si>
  <si>
    <t>Wykonanie wykopów / nasypów w gruntach I-V kat.</t>
  </si>
  <si>
    <t>Dostarczenie i montaż separatorów koalescencyjnych</t>
  </si>
  <si>
    <t>Ulepszone podłoże z gruntu stabilizowanego cemenetem</t>
  </si>
  <si>
    <t>Wykonanie nawierzchni z kruszywa łamanego na zjazdach gr. w-wy 20cm</t>
  </si>
  <si>
    <t>00.00.00
01.01.01</t>
  </si>
  <si>
    <t>Podstawy
[Nr WWiORB/ SP/CPV]</t>
  </si>
  <si>
    <t>14.</t>
  </si>
  <si>
    <t>19.</t>
  </si>
  <si>
    <t>OGÓŁEM [II] ROBOTY DROGOWE:</t>
  </si>
  <si>
    <t>RAZEM [K]:</t>
  </si>
  <si>
    <t>OGÓŁEM [V] ROBOTY SANITARNE - GAZ:</t>
  </si>
  <si>
    <t>01.02.02</t>
  </si>
  <si>
    <t>02.00.00</t>
  </si>
  <si>
    <t>04.00.00</t>
  </si>
  <si>
    <t>06.00.00</t>
  </si>
  <si>
    <t>Wykonanie koryta mechanicznie wraz z profilowaniem i zagęszczaniem podłoża w gr. kat I-VI, głębok. koryta ok 40cm na poszerzeniach jezdni drogi gminnej</t>
  </si>
  <si>
    <r>
      <t xml:space="preserve">PODBUDOWY - JEZDNIA DROGI GMINNEJ
</t>
    </r>
    <r>
      <rPr>
        <sz val="10"/>
        <rFont val="Times New Roman"/>
        <family val="1"/>
        <charset val="238"/>
      </rPr>
      <t>Roboty w zakresie konstruowania, fundamentowania oraz wykonywania nawierzchni dróg</t>
    </r>
  </si>
  <si>
    <t>08.01.01</t>
  </si>
  <si>
    <t>Krawęzniki betonowe</t>
  </si>
  <si>
    <t>08.01.01.11</t>
  </si>
  <si>
    <t xml:space="preserve">Ustawienie krawężników betonowych o wymiarach 15x30 cm na ławie betonowej z oporem </t>
  </si>
  <si>
    <t>F=</t>
  </si>
  <si>
    <t>wg. Rysunku Plan Sytuacyjny i Przekroje typowe</t>
  </si>
  <si>
    <t>08.05.01</t>
  </si>
  <si>
    <t>Ścieki z prefabrykowanych elementów betonowych</t>
  </si>
  <si>
    <t>08.05.01.11</t>
  </si>
  <si>
    <t>07.02.42</t>
  </si>
  <si>
    <t>Ustawienie słupków  z rur stalowych dla znaków drogowych - słupki nowe</t>
  </si>
  <si>
    <t>07.02.01.45</t>
  </si>
  <si>
    <t xml:space="preserve">Humusowanie z obsianiem terenu za chodnikiem przy grubości humusu 10 cm. Humus uprzednio usunięty i zmagazynowany przez Wykonawcę.  Wykonawca pozyska  nasiona traw własnym staraniem i na własny koszt. </t>
  </si>
  <si>
    <t>05.03.05.B</t>
  </si>
  <si>
    <t>Wykonanie nawierzchni z betonu asfaltowego AC16W, warstwa wiążąca, gr. w-wy 6 cm na jezdni drogi gminnej</t>
  </si>
  <si>
    <t>05.03.11</t>
  </si>
  <si>
    <t>Recykling /remixing/</t>
  </si>
  <si>
    <t>05.03.11.32</t>
  </si>
  <si>
    <t>04.03.01</t>
  </si>
  <si>
    <t>Oczyszczenie i skropienie warstw konstrukcyjnych</t>
  </si>
  <si>
    <t>04.03.01.13
04.03.01.23</t>
  </si>
  <si>
    <t>Oczyszcznie i skropienie emulsją asfaltową warstw konstrukcyjnych ulepszonych mechanicznie</t>
  </si>
  <si>
    <t>04.04.02</t>
  </si>
  <si>
    <t>Podbudowy z kruszywa łamanego stabilizowanego mechanicznie</t>
  </si>
  <si>
    <t>04.04.02.10</t>
  </si>
  <si>
    <t>04.04.02.11</t>
  </si>
  <si>
    <t>04.05.01</t>
  </si>
  <si>
    <t>04.05.01.11</t>
  </si>
  <si>
    <t>03.01.01.11</t>
  </si>
  <si>
    <t>3.2</t>
  </si>
  <si>
    <t xml:space="preserve">
Wykonanie geodezyjnej inwentaryzacji powykonawczej
</t>
  </si>
  <si>
    <t xml:space="preserve">
Wykonanie i zatwierdzenie projektu oznakowania robót i organizacji ruchu na czas prowadzenia robót (4 egz.) wraz z zakupem, ustawieniem, rozbiórką (po zakończeniu robót) i utrzymaniem oznakowania w trakcie realizacji robót
</t>
  </si>
  <si>
    <t>Zdjęcie humusu darniny</t>
  </si>
  <si>
    <t>Mechaniczne usunięcie warstwy ziemi urodzajnej (humusu) o średniej gr. w-wy 15 cm z darniną do późniejszego cześciowego wykorzystania</t>
  </si>
  <si>
    <t>Rozbiórki elementów dróg, ogrodzeń i przepustów</t>
  </si>
  <si>
    <t>01.02.04.11</t>
  </si>
  <si>
    <t>01.02.04.21</t>
  </si>
  <si>
    <t>Rozebranie istniejących zjazdów o nawierzchni z kruszywa, gr. w-wy 10cm</t>
  </si>
  <si>
    <t>wg. Rysunku Plan Sytuacyjny i zał. nr 1 do Przedmiaru Robót</t>
  </si>
  <si>
    <t>01.02.04.23</t>
  </si>
  <si>
    <t xml:space="preserve">Rozebranie nawierzchni betonowej . Utylizacja materiaów z rozbiórki w gestii Wykonawcy. Szczegółowy zakres robót wg. załącznika nr 1 do Przedmiaru robót - tabela robót na zjazdach. </t>
  </si>
  <si>
    <t xml:space="preserve">Rozebranie nawierzchni z kostki brukowej . Utylizacja materiaów z rozbiórki w gestii Wykonawcy. Szczegółowy zakres robót wg. załącznika nr 1 do Przedmiaru robót - tabela robót na zjazdach. </t>
  </si>
  <si>
    <t>01.02.04.71</t>
  </si>
  <si>
    <t>06.01.10.10</t>
  </si>
  <si>
    <t>6.3</t>
  </si>
  <si>
    <t>06.01.01.61a</t>
  </si>
  <si>
    <t>Wykonanie ścieków skarpowych z prefabrykowanych elementów betonowych</t>
  </si>
  <si>
    <t>Przymocowanie tarcz do słupków - znaki nowe</t>
  </si>
  <si>
    <t>7.2</t>
  </si>
  <si>
    <t>Wykonanie nasypów mechanicznie z gruntu kat. I-V uzykanego z dokopu</t>
  </si>
  <si>
    <t>2.1</t>
  </si>
  <si>
    <t>2.2</t>
  </si>
  <si>
    <t>2.3</t>
  </si>
  <si>
    <t>2.4</t>
  </si>
  <si>
    <t>01.02.02.12</t>
  </si>
  <si>
    <t>2.5</t>
  </si>
  <si>
    <t>2.6</t>
  </si>
  <si>
    <t>3.1</t>
  </si>
  <si>
    <t>4.1</t>
  </si>
  <si>
    <t>5.1</t>
  </si>
  <si>
    <t>5.2</t>
  </si>
  <si>
    <t>5.3</t>
  </si>
  <si>
    <t>5.4</t>
  </si>
  <si>
    <t>5.5</t>
  </si>
  <si>
    <t>6.1</t>
  </si>
  <si>
    <t>6.2</t>
  </si>
  <si>
    <t>7.1</t>
  </si>
  <si>
    <t>7.3</t>
  </si>
  <si>
    <t>7.4</t>
  </si>
  <si>
    <t>8.1</t>
  </si>
  <si>
    <t>8.2</t>
  </si>
  <si>
    <t>8.3</t>
  </si>
  <si>
    <t>9.1</t>
  </si>
  <si>
    <t>9.2</t>
  </si>
  <si>
    <t>PRZEDMIAR ROBÓT</t>
  </si>
  <si>
    <t>01.01.01.22</t>
  </si>
  <si>
    <t>Umocnienie poboczy kruszywem o gr. w-wy śr. 10 cm</t>
  </si>
  <si>
    <t>9.3</t>
  </si>
  <si>
    <t>Koszt dostosowania się do pozostałych wymagań Warunków Kontraktu,Wymagań Ogólnych zawartych w Specyfikacji Technicznej Wykonania i Odbioru Robót Budowlanych DM.00.00.00 oraz szczegółowych STWiORB. Koszty spełnienia wymagań zarządców/właścicieli istniejących sieci w zakresie odbiorów i nadzoru właścicielskiego zgodnie z załączonymi do dokumentacji technicznej uzgodnieniami, decyzjami i warunkami technicznymi.</t>
  </si>
  <si>
    <t>Wyznaczenie proj. trasy i punktów wysokościowych w terenie. Wyznaczenie przebiegu istaniejacych i projektowanych sieci podziemnych. Oznaczenie przebiegu granic istniejącego pasa drogowego. Kompleksowa obsługa geodezyjna inwestycji.</t>
  </si>
  <si>
    <t>Rozebranie istniejących zjazdów o nawierzchni z betonu, gr. w-wy 5-10 cm</t>
  </si>
  <si>
    <t>Wykonanie wykopów mechanicznie w gr. kat. I-V z odwozem i utylziacją gruntu nieprzydatnego</t>
  </si>
  <si>
    <t>Wykonanie ścieków muldowych lub trójkątnych na ławie betonowej z oporem przy krawędzi jezdni</t>
  </si>
  <si>
    <t>Wykonanie ścieków muldowych przejazdowych (grzebieniowe o szer. zbliżonej do zastosowanych koryt muldowych)  na ławie betonowej z oporem przy krawędzi jezdni lub rozwiazanie indywidualne</t>
  </si>
  <si>
    <t>WARTOŚĆ KOSZTORYSOWA ROBÓT BEZ PODATKU VAT [I+II+III+IV]:</t>
  </si>
  <si>
    <t>02.02.06</t>
  </si>
  <si>
    <t>Wyszczególnienie elementów rozliczeniowych
(Opis robót i obliczenie ich ilości)</t>
  </si>
  <si>
    <t>ROBOTY DROGOWE: PRZEBUDOWA DROGI GMINNEJ</t>
  </si>
  <si>
    <t>Rozebranie istniejącej nawierzchni betonowej na zjazdach w obrębie istniejącego pasa drogowego. Utylizacja materiału z rozbiórki w gestii Wykonawcy.
&lt;F=23,00 m2 - wg Rys. Plan Sytuacyjny&gt;</t>
  </si>
  <si>
    <t>PRZEBUDOWA DROGI NIEDŹWIADA - KOLAWA NA DZIAŁKACH NR EWID. 5578, 
5554/2, 5558/2, 5558/1, 5564 W M. NIEDŹWIADA</t>
  </si>
  <si>
    <t>KOSZTY OGÓLNE</t>
  </si>
  <si>
    <r>
      <rPr>
        <sz val="10"/>
        <rFont val="Times New Roman"/>
        <family val="1"/>
        <charset val="238"/>
      </rPr>
      <t>Odcinek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drogi gminnej od km 0+000,00 do km 0+197,00 połozony w terenie równinnym.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W rmamach ceny ryczałtowej uwzględnić należy kompletną obsluge geodezyjną inwestycji min. wytyczenie wszystkich punktów przebudowywanej drogi, wytyczenie przepustów, wyniesienie wysokościowe w charkaterystycznych przekrojach poprzecznych wytyczenie istniejących sieci oraz ich nowej trasy po przebudowie. Wytyczenie elementów odwodnienia drogi, tymczasowa stabilizacja na czas robót przebiegu granic proj pasa drogowego. Inne czynnosci przewidzane w STWiORB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&lt;L=0,20 km&gt; - dlugość odcinka drogi gminnej objętej opracowaniem</t>
    </r>
  </si>
  <si>
    <t>Rozebranie podbudowy z kruszywa, gr. w-wy do 15 cm wraz z równomiernym rozprowadzeniem i wstępnym wyprofilowaniem.</t>
  </si>
  <si>
    <t>Rozebranie istniejącej nawierzchni z kruszywa oraz gruntowo - kruszywowej na zjazdach w obrębie istniejącego pasa drogowego. Utylizacja materiału z rozbiórki w gestii Wykonawcy
&lt;F=65,00 m2 - wg Rys. Plan Sytuacyjny&gt;</t>
  </si>
  <si>
    <t>Rozebranie przepustów z rur z tworzyw sztucznych o średnicy  do 60 cm</t>
  </si>
  <si>
    <t>Rozebranie przepustów z rur z tworzyw sztucznych o średnicy ø60cm pod koroną drogi wraz z rozbiórką fundamentów i elementów umocnień
L=6,0 m</t>
  </si>
  <si>
    <r>
      <rPr>
        <sz val="10"/>
        <rFont val="Times New Roman"/>
        <family val="1"/>
        <charset val="238"/>
      </rPr>
      <t>Wykonanie nasypów mechanicznie z gruntu dostarczonego przez Wykonawcę robót z dokopu (zasypanie wykopu w miejscu projektowanego przepustu, poszerzenie korpusu drogi). Wykonawca pozyska grunt własnym staraniem i na własny koszt oraz zapewni transport w miejsce wbudowania.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 xml:space="preserve">&lt;V=330,20 m3&gt; </t>
    </r>
  </si>
  <si>
    <t>Ułożenie przepustów pod koroną drogi gminnej z rury PP / PE / HDPE o średnicy ø600 mm</t>
  </si>
  <si>
    <t>Rozebranie istn. konstrukcji jezdni - podbudowy z kruszywa o gr. w-wy około 15cm wraz z równomiernym rozprowadzeniem i wyprofilowaniem warstwy na docelową szerokość średnio 5,50 m. Kruszywo przeznaczone jako doziarnienie projektowanej warstwy ulepszonego podłoża stabilizowanego spoiwem hydrualicznym.
Według Rys. Plan Sytuacyjny i Przekroje typowe&gt;</t>
  </si>
  <si>
    <r>
      <rPr>
        <sz val="10"/>
        <rFont val="Times New Roman"/>
        <family val="1"/>
        <charset val="238"/>
      </rPr>
      <t>Wykonanie wykopów mechanicznie w gr. kat. I-V z transportem i utylizacją urobku przez Wykonawcę. Odkopanie istniejącego przepustu, oczyszczenie i profilowanie rowu przed wlotem i poniżej wylotu przepustu na odcinkach po 2,0m.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&lt;V=59,0 m3&gt;</t>
    </r>
  </si>
  <si>
    <t>Wykonanie podbudowy z kruszywa łamanego 0/31,5mm stabilizowanego mechanicznie, gr. w-wy 20cm - jezdnia mijanka i zjazady</t>
  </si>
  <si>
    <t>Przymocowanie tarcz do słupków stalowych - znak B20 "stop" średni</t>
  </si>
  <si>
    <t>Wykonanie koryta pod konstrukcję jezdni drogi gminnej (poszerzenie) wraz z profilowaniem i zagęszczaniem podłoża w gr. kat. I-VI. Średnia głębokość korytowania 40cm.</t>
  </si>
  <si>
    <t>Oczyszczenie i jednokrotne skropienie emulsją asfaltową warstw konstrukcyjnych ulepszonych mechanicznie - warstwa wiążąca na  jezdni drogi gminnej mijance i zjazdach.</t>
  </si>
  <si>
    <t xml:space="preserve">Wykonanie w-wy podbudowy z kruszywa łamanego 0/31,5 mm stabilizowanego mechanicznie o gr. 20cm - konstrukcja jezdni mijanki i zjazdów. Średnia szerokość podbudowy w ciągu drogi gminnej ok 4,7 m (podbudowa pod nawierzchnią bitumiczną i poboczami)
F=1086,40 m2 wg. rysunku Plan Sytuacyjny </t>
  </si>
  <si>
    <t>Wykonanie ulepszonego podłoża z gruntu stabilizowanego spoiwem hydraulicznym na miejscu, gr. w-wy 30cm - jezdnia drogi gminnej oraz mijanka</t>
  </si>
  <si>
    <t>Wykonanie warstwy ulepszonego podłoża z gruntu stabilizowanego spoiwem hydraulicznym z ywkorzystaniem pozostawionego destruktu oraz materiału z rozbiórki podbudowy po potwierdzeniu jego przydatności. W miejscu projektowanego przepustu pod koroną drogi gminnej na odcinku ok 5,0m wykonanie warstwy z kruszywa stabilizowanego spoiwem hydraulicznym(stabilizacja z dowozu). Warstwa ulepszonego podłoża oraz z stabilziacji z dowozu gr. 30cm i wytrzymałości Rm=2,5MPa pod konstrukcję chodnika na szlaku oraz pod ściek przy krawędzi jezdni.
F1=1051,90 m2 - warstwa ulepszonego podłoża - stabilziacja na miejscu
F2= 25,00 m2 (7,5m3) - stabilizacja z dowozu</t>
  </si>
  <si>
    <t>Ustawienie słupków z rur stalowych ocynkowanych dla znaków drogowych.</t>
  </si>
  <si>
    <t>Ustawienie barier ochronnych rurowych zabezpieczających ruch pieszych</t>
  </si>
  <si>
    <t>Wykonanie ścieków typu "mulda" lub trojkątnych  z betonowych elementów prefabrykowanych o wym. 50x50x15cm lub zbliżone na ławie betonowej z oporem z betonu C12/15 o gr. 10cm
&lt;F=151,00 m&gt; wg. rys. Plan sytuacyjny i Przekroje typowe</t>
  </si>
  <si>
    <t>Wykonanie ścieków typu grzebieniowego lub alternatywne rozwiązanie przejazdowe wg. rysunku szczegółu  z betonowych elementów prefabrykowanych na ławie betonowej z oporem z betonu C12/15 o gr. 10cm
&lt;F=36,00 m&gt; wg. rys. Plan sytuacyjny i Przekroje typowe</t>
  </si>
  <si>
    <r>
      <rPr>
        <sz val="10"/>
        <rFont val="Times New Roman"/>
        <family val="1"/>
        <charset val="238"/>
      </rPr>
      <t>Mechaniczne usunięcie warstwy urodzajnej (humusu) gr. w-wy 15cm z obrębu pasa drogowego rowów i skarp w zakresie umożliwiającym prawidłową realizacje robót budowalnych wraz z transportem na odkład. Miejsce składowania (ewen. utylizacji) zapewnia Wykonawca robót. Nadmiar darniny i humusu przechodzi na własność Wykonawcy.</t>
    </r>
    <r>
      <rPr>
        <sz val="10"/>
        <color rgb="FFFF000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Według Rys. Plan Sytuacyjny i Przekroje typowe</t>
    </r>
  </si>
  <si>
    <t>Uzupełnienie poboczy gruntowych warstwą kruszywa łamanego 0/31,5 gr. 10cm po zagęszczeniu, projektowana szerokość poboczy 50 cm. Na odcinka występowania elementów odwodnienia - ścieków z elementów typu korytko nie przewiduje się wykonania poboczy za ściekiem
F=119,50 m2 wg. rys. Plan sytuacyjny i Przekroje typowe</t>
  </si>
  <si>
    <t>Ustawienie barier wygrodzeniowych typu U-11a. Słupki barier osadzone w fundamencie betonowym z betonu klasy C16/20. Przewidziano obustronny montaż odcinków liczących po trzy przęsłao łacznej długości 12m. Bariery zabezpieczajace w miejscu proj. przepustu.</t>
  </si>
  <si>
    <t>Ustawienie krawężników drogowych betonowych o wym. 15x30cm  "leżące" na podsypce cementowo - piaskowej o gr. 5cm i ławie betonowej C12/15 (V=0,06m3/m). Krawężniki występują od km 0+000,00 do 0+010,00 przy lewej krawędzi jezdni.
&lt;L=10,0 m&gt; wg. rys. Plan sytuacyjny</t>
  </si>
  <si>
    <t xml:space="preserve">Umocnienie skarp brukiem kamiennym </t>
  </si>
  <si>
    <t>Umocnienie skarp i dna od strony wlotu i wylotu projektowanego przepustu pod koroną drogi gminnej kamieniem hydrotechnicznym gr ok 10,0 cm układanym na warstwie betonu C 8/10 gr. 10 cm sposobem brukarskim, spoiny wypełnione zaprawą cementową.
F= 13,70m2 wg. rysunku Plan Sytuacyjny</t>
  </si>
  <si>
    <t>Ułożenie ścieków skarpowych - trapezoych na warstwie betonu C8/10 - sprowadzenie ścieku przykrawędziowego do rowu otwartego na dziłace nr ewid. 5554/1 i 5554/2
L= 3,0 m wg. rysunku Plan Sytuacyjny</t>
  </si>
  <si>
    <t xml:space="preserve">Wykonanie nawierzchni z betonu asfaltowego AC16W, warstwa wiążąca, gr. w-wy 5 cm </t>
  </si>
  <si>
    <t>Wykonanie nawierzchni z betonu asfaltowego AC 16W, warstwa wiążąca,  gr. w-wy5 cm na jezdni drogi gminnej mijance i zjazdach jak dla KR 1-2 wg. standardów WT1 i WT-2 2014
&lt;F=872,90m2&gt; - wg. Rys. Plan sytuacyjny i Przekroje typowe</t>
  </si>
  <si>
    <t>Wykonanie nawierzchni z betonu asfaltowego AC 11S, warstwa ścieralna,  gr. w-wy 4 cm na jezdni drogi gminnej, mijance i zjazdach jak dla KR 1-2 wg. standardów WT1 i WT-2 2014
&lt;F=828,00 m2&gt; - wg. Rys. Plan Sytuacyjny i Przekroje typowe</t>
  </si>
  <si>
    <t xml:space="preserve">Wykonanie nawierzchni z betonu asfaltowego AC11S, warstwa ścieralna, gr. w-wy 4 cm </t>
  </si>
  <si>
    <t>Wykonanie frezowania nawierzchni asfaltowych o śr. gr. warstwy 8 cm wraz z pozostawieniem, roprowadzeniem i wyprofilowaniem warstwy destruktu na szer. proj wartsty ulepsoznego podłoża śr. 5,7 m do wykorzystania jako doziarnienie proj. w-wy ulepsoznego podłoża</t>
  </si>
  <si>
    <t>Wykonanie frezowania istn. nawierzchni asfaltowych na zimno śr gr. w-wy do 8cm z pozostawieniem destruktu na miejscu</t>
  </si>
  <si>
    <t>Ułożenie przepustu z rury PP minimum SN8 o średnicy wewnętrznej DN600, łączone z wykonaniem fundamentu w postaci ławy z kruszywa kamiennego gr. 20 cm i szerokości 90 cm wykonaniem podsypki i obsypki do poziomu konstrukcji jezdni. Przepust na wlocie i wylocie przycięty - dostosowany do nachylenia skarp korpusu drogi</t>
  </si>
  <si>
    <t>Wykonanie warstwy odcinającej z piasku gruboziarnistego, gr. w-wy po zagęszczeniu 10cm</t>
  </si>
  <si>
    <t>Wykonanie warstwy odcinającej z piasku zagęszcoznego mechanicznie w obręie zjazdów do sąsiadujacych posesji gr. warstwy po zagęszczeniu min. 10 cm.</t>
  </si>
  <si>
    <t>Cena jednostkowa</t>
  </si>
  <si>
    <t>Wartość robót netto</t>
  </si>
  <si>
    <t>Rozebranie istniejącej nawierzchni z kruszywa oraz gruntowo - kruszywowej na zjazdach w obrębie istniejącego pasa drogowego. Utylizacja materiału z rozbiórki w gestii Wykonawcy
&lt;F=45,00 m2 - wg Rys. Plan Sytuacyjny&gt;</t>
  </si>
  <si>
    <t>Rozebranie istniejącej nawierzchni betonowej na zjazdach w obrębie istniejącego pasa drogowego. Utylizacja materiału z rozbiórki w gestii Wykonawcy.
&lt;F=20,00 m2 - wg Rys. Plan Sytuacyjny&gt;</t>
  </si>
  <si>
    <t>OGÓŁEM [I] KOSZTY OGÓLNE:</t>
  </si>
  <si>
    <t>Wykonanie podbudowy z kruszywa łamanego 0/31,5mm stabilizowanego mechanicznie, gr. w-wy 20cm - jezdnia mijanka i zjazdy</t>
  </si>
  <si>
    <t>KOSZTORYS  OFERTOWY</t>
  </si>
  <si>
    <t>Rozebranie istn. konstrukcji jezdni - podbudowy z kruszywa o gr. w-wy około 15cm wraz z równomiernym rozprowadzeniem i wyprofilowaniem warstwy. Kruszywo przeznaczone jako doziarnienie projektowanej warstwy ulepszonego podłoża stabilizowanego spoiwem hydrualicznym.
Według Rys. Plan Sytuacyjny i Przekroje typowe&gt;</t>
  </si>
  <si>
    <t>WARTOŚĆ KOSZTORYSOWA ROBÓT BEZ PODATKU VAT [I+II]: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</si>
</sst>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zł&quot;;\-#,##0.00\ &quot;zł&quot;"/>
    <numFmt numFmtId="43" formatCode="_-* #,##0.00\ _z_ł_-;\-* #,##0.00\ _z_ł_-;_-* &quot;-&quot;??\ _z_ł_-;_-@_-"/>
    <numFmt numFmtId="164" formatCode="00\-000"/>
    <numFmt numFmtId="165" formatCode="0#\.##\.##\.##\."/>
    <numFmt numFmtId="166" formatCode="_-* #,##0.00\ _z_ł_-;\-* #,##0.00\ _z_ł_-;_-* \-??\ _z_ł_-;_-@_-"/>
  </numFmts>
  <fonts count="6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9"/>
      <color indexed="48"/>
      <name val="Times New Roman"/>
      <family val="1"/>
      <charset val="238"/>
    </font>
    <font>
      <sz val="8"/>
      <color indexed="48"/>
      <name val="Times New Roman"/>
      <family val="1"/>
      <charset val="238"/>
    </font>
    <font>
      <b/>
      <i/>
      <sz val="28"/>
      <name val="Arial"/>
      <family val="2"/>
      <charset val="238"/>
    </font>
    <font>
      <i/>
      <sz val="10"/>
      <name val="Arial"/>
      <family val="2"/>
      <charset val="238"/>
    </font>
    <font>
      <i/>
      <sz val="14"/>
      <name val="Arial"/>
      <family val="2"/>
      <charset val="238"/>
    </font>
    <font>
      <b/>
      <i/>
      <sz val="16"/>
      <name val="Arial"/>
      <family val="2"/>
      <charset val="238"/>
    </font>
    <font>
      <sz val="10"/>
      <name val="Arial CE"/>
      <family val="2"/>
      <charset val="238"/>
    </font>
    <font>
      <b/>
      <i/>
      <sz val="12"/>
      <name val="Arial"/>
      <family val="2"/>
      <charset val="238"/>
    </font>
    <font>
      <b/>
      <i/>
      <sz val="14"/>
      <name val="Arial"/>
      <family val="2"/>
      <charset val="238"/>
    </font>
    <font>
      <i/>
      <sz val="12"/>
      <name val="Arial"/>
      <family val="2"/>
      <charset val="238"/>
    </font>
    <font>
      <b/>
      <i/>
      <sz val="24"/>
      <name val="Arial"/>
      <family val="2"/>
      <charset val="238"/>
    </font>
    <font>
      <b/>
      <i/>
      <u/>
      <sz val="12"/>
      <name val="Arial"/>
      <family val="2"/>
      <charset val="238"/>
    </font>
    <font>
      <b/>
      <i/>
      <u/>
      <sz val="11"/>
      <name val="Arial"/>
      <family val="2"/>
      <charset val="238"/>
    </font>
    <font>
      <b/>
      <u/>
      <sz val="10"/>
      <name val="Arial CE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charset val="238"/>
    </font>
    <font>
      <sz val="8"/>
      <name val="Arial CE"/>
      <family val="2"/>
      <charset val="238"/>
    </font>
    <font>
      <u/>
      <sz val="10"/>
      <name val="Arial CE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i/>
      <u/>
      <sz val="10"/>
      <name val="Arial CE"/>
      <charset val="238"/>
    </font>
    <font>
      <sz val="16"/>
      <name val="Arial CE"/>
      <family val="2"/>
      <charset val="238"/>
    </font>
    <font>
      <sz val="10"/>
      <color theme="0" tint="-0.249977111117893"/>
      <name val="Arial CE"/>
      <charset val="238"/>
    </font>
    <font>
      <b/>
      <sz val="10"/>
      <color theme="0" tint="-0.249977111117893"/>
      <name val="Arial CE"/>
      <charset val="238"/>
    </font>
    <font>
      <b/>
      <i/>
      <sz val="18"/>
      <name val="Arial"/>
      <family val="2"/>
      <charset val="238"/>
    </font>
    <font>
      <i/>
      <sz val="12"/>
      <color rgb="FF222222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6"/>
      <color rgb="FF0070C0"/>
      <name val="Arial CE"/>
      <charset val="238"/>
    </font>
    <font>
      <b/>
      <i/>
      <sz val="18"/>
      <color rgb="FF0070C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theme="9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vertAlign val="superscript"/>
      <sz val="10"/>
      <color rgb="FFFF0000"/>
      <name val="Times New Roman"/>
      <family val="1"/>
      <charset val="238"/>
    </font>
    <font>
      <b/>
      <vertAlign val="superscript"/>
      <sz val="10"/>
      <color rgb="FFFF0000"/>
      <name val="Times New Roman"/>
      <family val="1"/>
      <charset val="238"/>
    </font>
    <font>
      <b/>
      <sz val="10"/>
      <color rgb="FF7030A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sz val="11"/>
      <name val="Times New Roman CE"/>
      <charset val="238"/>
    </font>
    <font>
      <sz val="11"/>
      <color rgb="FF000000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47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41"/>
      </patternFill>
    </fill>
    <fill>
      <patternFill patternType="solid">
        <fgColor rgb="FFFFFF00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77">
    <xf numFmtId="0" fontId="0" fillId="0" borderId="0"/>
    <xf numFmtId="43" fontId="7" fillId="0" borderId="0" applyFont="0" applyFill="0" applyBorder="0" applyAlignment="0" applyProtection="0"/>
    <xf numFmtId="0" fontId="14" fillId="0" borderId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2" fillId="0" borderId="0"/>
    <xf numFmtId="0" fontId="5" fillId="0" borderId="0"/>
    <xf numFmtId="0" fontId="5" fillId="0" borderId="0"/>
    <xf numFmtId="0" fontId="7" fillId="0" borderId="0"/>
    <xf numFmtId="0" fontId="43" fillId="0" borderId="0"/>
    <xf numFmtId="43" fontId="7" fillId="0" borderId="0" applyFont="0" applyFill="0" applyBorder="0" applyAlignment="0" applyProtection="0"/>
    <xf numFmtId="0" fontId="4" fillId="0" borderId="0"/>
    <xf numFmtId="0" fontId="42" fillId="0" borderId="0"/>
    <xf numFmtId="43" fontId="4" fillId="0" borderId="0" applyFont="0" applyFill="0" applyBorder="0" applyAlignment="0" applyProtection="0"/>
    <xf numFmtId="0" fontId="42" fillId="0" borderId="0"/>
    <xf numFmtId="0" fontId="4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43" fillId="0" borderId="0"/>
    <xf numFmtId="0" fontId="42" fillId="0" borderId="0" applyNumberFormat="0" applyFont="0" applyFill="0" applyBorder="0" applyAlignment="0" applyProtection="0">
      <alignment vertical="top"/>
    </xf>
    <xf numFmtId="0" fontId="4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42" fillId="0" borderId="0" applyNumberFormat="0" applyFont="0" applyFill="0" applyBorder="0" applyAlignment="0" applyProtection="0">
      <alignment vertical="top"/>
    </xf>
    <xf numFmtId="0" fontId="7" fillId="0" borderId="0"/>
    <xf numFmtId="43" fontId="4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2" fillId="0" borderId="0" applyNumberFormat="0" applyFont="0" applyFill="0" applyBorder="0" applyAlignment="0" applyProtection="0">
      <alignment vertical="top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2">
      <alignment horizontal="center"/>
    </xf>
    <xf numFmtId="0" fontId="59" fillId="0" borderId="0"/>
    <xf numFmtId="166" fontId="59" fillId="0" borderId="0" applyBorder="0" applyProtection="0"/>
    <xf numFmtId="166" fontId="59" fillId="0" borderId="0" applyBorder="0" applyProtection="0"/>
    <xf numFmtId="0" fontId="4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6" fontId="59" fillId="0" borderId="0" applyBorder="0" applyProtection="0"/>
    <xf numFmtId="166" fontId="59" fillId="0" borderId="0" applyBorder="0" applyProtection="0"/>
    <xf numFmtId="0" fontId="59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43" fillId="0" borderId="0"/>
    <xf numFmtId="43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42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496"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vertical="top" wrapText="1"/>
    </xf>
    <xf numFmtId="0" fontId="15" fillId="2" borderId="2" xfId="2" applyFont="1" applyFill="1" applyBorder="1" applyAlignment="1">
      <alignment horizontal="center" vertical="center"/>
    </xf>
    <xf numFmtId="0" fontId="17" fillId="0" borderId="2" xfId="2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top" wrapText="1"/>
    </xf>
    <xf numFmtId="0" fontId="15" fillId="3" borderId="4" xfId="2" applyFont="1" applyFill="1" applyBorder="1" applyAlignment="1">
      <alignment horizontal="center" vertical="center" wrapText="1"/>
    </xf>
    <xf numFmtId="0" fontId="15" fillId="3" borderId="5" xfId="2" applyFont="1" applyFill="1" applyBorder="1" applyAlignment="1">
      <alignment horizontal="center" vertical="center" wrapText="1"/>
    </xf>
    <xf numFmtId="0" fontId="15" fillId="2" borderId="3" xfId="2" applyFont="1" applyFill="1" applyBorder="1" applyAlignment="1">
      <alignment horizontal="center" vertical="center"/>
    </xf>
    <xf numFmtId="0" fontId="17" fillId="0" borderId="3" xfId="2" applyFont="1" applyBorder="1" applyAlignment="1">
      <alignment horizontal="center" vertical="center"/>
    </xf>
    <xf numFmtId="0" fontId="15" fillId="2" borderId="6" xfId="2" applyFont="1" applyFill="1" applyBorder="1" applyAlignment="1">
      <alignment horizontal="center" vertical="center"/>
    </xf>
    <xf numFmtId="0" fontId="15" fillId="2" borderId="7" xfId="2" applyFont="1" applyFill="1" applyBorder="1" applyAlignment="1">
      <alignment horizontal="center" vertical="center"/>
    </xf>
    <xf numFmtId="0" fontId="15" fillId="3" borderId="8" xfId="2" applyFont="1" applyFill="1" applyBorder="1" applyAlignment="1">
      <alignment horizontal="center" vertical="center" wrapText="1"/>
    </xf>
    <xf numFmtId="4" fontId="15" fillId="2" borderId="9" xfId="2" applyNumberFormat="1" applyFont="1" applyFill="1" applyBorder="1" applyAlignment="1">
      <alignment horizontal="center" vertical="center"/>
    </xf>
    <xf numFmtId="4" fontId="17" fillId="0" borderId="9" xfId="2" applyNumberFormat="1" applyFont="1" applyBorder="1" applyAlignment="1">
      <alignment horizontal="center" vertical="center"/>
    </xf>
    <xf numFmtId="4" fontId="15" fillId="2" borderId="10" xfId="2" applyNumberFormat="1" applyFont="1" applyFill="1" applyBorder="1" applyAlignment="1">
      <alignment horizontal="center" vertical="center"/>
    </xf>
    <xf numFmtId="4" fontId="15" fillId="0" borderId="9" xfId="2" applyNumberFormat="1" applyFont="1" applyBorder="1" applyAlignment="1">
      <alignment horizontal="center" vertical="center"/>
    </xf>
    <xf numFmtId="4" fontId="15" fillId="0" borderId="11" xfId="2" applyNumberFormat="1" applyFont="1" applyBorder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center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5" fillId="4" borderId="2" xfId="0" applyFont="1" applyFill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/>
    </xf>
    <xf numFmtId="2" fontId="14" fillId="0" borderId="2" xfId="1" applyNumberFormat="1" applyFont="1" applyBorder="1" applyAlignment="1">
      <alignment horizontal="center" vertical="center"/>
    </xf>
    <xf numFmtId="2" fontId="14" fillId="0" borderId="7" xfId="0" applyNumberFormat="1" applyFont="1" applyBorder="1" applyAlignment="1">
      <alignment horizontal="center" vertical="center"/>
    </xf>
    <xf numFmtId="2" fontId="14" fillId="0" borderId="7" xfId="1" applyNumberFormat="1" applyFont="1" applyBorder="1" applyAlignment="1">
      <alignment horizontal="center" vertical="center"/>
    </xf>
    <xf numFmtId="2" fontId="14" fillId="0" borderId="13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2" fontId="0" fillId="0" borderId="0" xfId="0" applyNumberFormat="1"/>
    <xf numFmtId="2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0" xfId="0" applyNumberFormat="1" applyAlignment="1">
      <alignment horizontal="center"/>
    </xf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0" fontId="0" fillId="0" borderId="0" xfId="0" applyAlignment="1">
      <alignment vertical="center"/>
    </xf>
    <xf numFmtId="0" fontId="21" fillId="0" borderId="0" xfId="0" applyFont="1" applyAlignment="1">
      <alignment horizontal="right"/>
    </xf>
    <xf numFmtId="164" fontId="25" fillId="4" borderId="2" xfId="0" applyNumberFormat="1" applyFont="1" applyFill="1" applyBorder="1" applyAlignment="1">
      <alignment horizontal="center" vertical="center" wrapText="1"/>
    </xf>
    <xf numFmtId="2" fontId="29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14" fillId="0" borderId="13" xfId="0" applyNumberFormat="1" applyFont="1" applyBorder="1" applyAlignment="1">
      <alignment vertical="center"/>
    </xf>
    <xf numFmtId="2" fontId="14" fillId="0" borderId="7" xfId="0" applyNumberFormat="1" applyFont="1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2" fontId="0" fillId="0" borderId="2" xfId="0" applyNumberFormat="1" applyBorder="1" applyAlignment="1">
      <alignment horizontal="center" vertical="center"/>
    </xf>
    <xf numFmtId="0" fontId="33" fillId="0" borderId="0" xfId="0" applyFont="1" applyAlignment="1">
      <alignment vertical="center" wrapText="1"/>
    </xf>
    <xf numFmtId="2" fontId="14" fillId="0" borderId="13" xfId="1" applyNumberFormat="1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2" fontId="14" fillId="0" borderId="23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2" fontId="14" fillId="0" borderId="23" xfId="0" applyNumberFormat="1" applyFont="1" applyBorder="1" applyAlignment="1">
      <alignment vertical="center"/>
    </xf>
    <xf numFmtId="0" fontId="0" fillId="0" borderId="23" xfId="0" applyBorder="1"/>
    <xf numFmtId="0" fontId="14" fillId="0" borderId="24" xfId="0" applyFont="1" applyBorder="1" applyAlignment="1">
      <alignment horizontal="center" vertical="center"/>
    </xf>
    <xf numFmtId="2" fontId="14" fillId="0" borderId="24" xfId="0" applyNumberFormat="1" applyFont="1" applyBorder="1" applyAlignment="1">
      <alignment horizontal="center" vertical="center"/>
    </xf>
    <xf numFmtId="2" fontId="14" fillId="0" borderId="24" xfId="1" applyNumberFormat="1" applyFont="1" applyBorder="1" applyAlignment="1">
      <alignment horizontal="center" vertical="center"/>
    </xf>
    <xf numFmtId="2" fontId="27" fillId="0" borderId="24" xfId="0" applyNumberFormat="1" applyFont="1" applyBorder="1" applyAlignment="1">
      <alignment vertical="center"/>
    </xf>
    <xf numFmtId="0" fontId="27" fillId="0" borderId="25" xfId="0" applyFont="1" applyBorder="1" applyAlignment="1">
      <alignment vertical="center"/>
    </xf>
    <xf numFmtId="0" fontId="14" fillId="0" borderId="26" xfId="0" applyFont="1" applyBorder="1" applyAlignment="1">
      <alignment horizontal="center" vertical="center"/>
    </xf>
    <xf numFmtId="4" fontId="34" fillId="0" borderId="0" xfId="0" applyNumberFormat="1" applyFont="1"/>
    <xf numFmtId="0" fontId="34" fillId="0" borderId="0" xfId="0" applyFont="1"/>
    <xf numFmtId="0" fontId="34" fillId="0" borderId="24" xfId="0" applyFont="1" applyBorder="1"/>
    <xf numFmtId="0" fontId="35" fillId="0" borderId="0" xfId="0" quotePrefix="1" applyFont="1" applyAlignment="1">
      <alignment horizontal="center"/>
    </xf>
    <xf numFmtId="16" fontId="35" fillId="0" borderId="0" xfId="0" quotePrefix="1" applyNumberFormat="1" applyFont="1" applyAlignment="1">
      <alignment horizontal="center"/>
    </xf>
    <xf numFmtId="0" fontId="35" fillId="0" borderId="0" xfId="0" applyFont="1"/>
    <xf numFmtId="0" fontId="34" fillId="0" borderId="0" xfId="0" applyFont="1" applyAlignment="1">
      <alignment horizontal="center"/>
    </xf>
    <xf numFmtId="0" fontId="34" fillId="5" borderId="0" xfId="0" applyFont="1" applyFill="1"/>
    <xf numFmtId="0" fontId="34" fillId="0" borderId="0" xfId="0" applyFont="1" applyAlignment="1">
      <alignment horizontal="right"/>
    </xf>
    <xf numFmtId="4" fontId="0" fillId="0" borderId="0" xfId="0" applyNumberFormat="1"/>
    <xf numFmtId="9" fontId="0" fillId="0" borderId="0" xfId="0" applyNumberFormat="1"/>
    <xf numFmtId="0" fontId="35" fillId="0" borderId="0" xfId="0" applyFont="1" applyAlignment="1">
      <alignment horizontal="center"/>
    </xf>
    <xf numFmtId="0" fontId="19" fillId="0" borderId="22" xfId="0" applyFont="1" applyBorder="1" applyAlignment="1">
      <alignment vertical="center" wrapText="1"/>
    </xf>
    <xf numFmtId="0" fontId="11" fillId="0" borderId="0" xfId="0" applyFont="1" applyAlignment="1">
      <alignment horizontal="center"/>
    </xf>
    <xf numFmtId="4" fontId="15" fillId="0" borderId="0" xfId="0" applyNumberFormat="1" applyFont="1"/>
    <xf numFmtId="0" fontId="15" fillId="0" borderId="6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7" borderId="6" xfId="2" applyFont="1" applyFill="1" applyBorder="1" applyAlignment="1">
      <alignment horizontal="center" vertical="center" wrapText="1"/>
    </xf>
    <xf numFmtId="0" fontId="15" fillId="7" borderId="7" xfId="2" applyFont="1" applyFill="1" applyBorder="1" applyAlignment="1">
      <alignment horizontal="center" vertical="center" wrapText="1"/>
    </xf>
    <xf numFmtId="0" fontId="15" fillId="7" borderId="10" xfId="2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/>
    </xf>
    <xf numFmtId="0" fontId="17" fillId="0" borderId="6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4" fontId="15" fillId="0" borderId="21" xfId="2" applyNumberFormat="1" applyFont="1" applyBorder="1" applyAlignment="1">
      <alignment horizontal="center" vertical="center"/>
    </xf>
    <xf numFmtId="0" fontId="17" fillId="0" borderId="12" xfId="2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justify" vertical="center"/>
    </xf>
    <xf numFmtId="0" fontId="0" fillId="0" borderId="25" xfId="0" applyBorder="1"/>
    <xf numFmtId="0" fontId="0" fillId="0" borderId="24" xfId="0" applyBorder="1"/>
    <xf numFmtId="0" fontId="0" fillId="0" borderId="26" xfId="0" applyBorder="1"/>
    <xf numFmtId="0" fontId="0" fillId="0" borderId="1" xfId="0" applyBorder="1"/>
    <xf numFmtId="0" fontId="0" fillId="0" borderId="42" xfId="0" applyBorder="1"/>
    <xf numFmtId="0" fontId="38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0" fillId="0" borderId="40" xfId="0" applyBorder="1"/>
    <xf numFmtId="0" fontId="45" fillId="0" borderId="0" xfId="11" applyFont="1" applyAlignment="1">
      <alignment horizontal="center" vertical="center"/>
    </xf>
    <xf numFmtId="0" fontId="46" fillId="0" borderId="2" xfId="11" applyFont="1" applyBorder="1" applyAlignment="1">
      <alignment vertical="center" wrapText="1"/>
    </xf>
    <xf numFmtId="0" fontId="4" fillId="0" borderId="0" xfId="11" applyAlignment="1">
      <alignment vertical="center"/>
    </xf>
    <xf numFmtId="4" fontId="45" fillId="0" borderId="2" xfId="12" applyNumberFormat="1" applyFont="1" applyBorder="1" applyAlignment="1">
      <alignment horizontal="left" vertical="center" wrapText="1"/>
    </xf>
    <xf numFmtId="4" fontId="45" fillId="0" borderId="2" xfId="11" applyNumberFormat="1" applyFont="1" applyBorder="1" applyAlignment="1">
      <alignment horizontal="center" vertical="center"/>
    </xf>
    <xf numFmtId="2" fontId="45" fillId="0" borderId="2" xfId="12" applyNumberFormat="1" applyFont="1" applyBorder="1" applyAlignment="1">
      <alignment horizontal="center" vertical="center" wrapText="1"/>
    </xf>
    <xf numFmtId="43" fontId="45" fillId="0" borderId="2" xfId="13" applyFont="1" applyFill="1" applyBorder="1" applyAlignment="1">
      <alignment horizontal="center" vertical="center"/>
    </xf>
    <xf numFmtId="4" fontId="48" fillId="0" borderId="2" xfId="12" applyNumberFormat="1" applyFont="1" applyBorder="1" applyAlignment="1">
      <alignment horizontal="left" vertical="center" wrapText="1"/>
    </xf>
    <xf numFmtId="0" fontId="4" fillId="0" borderId="0" xfId="11" applyAlignment="1">
      <alignment vertical="center" wrapText="1"/>
    </xf>
    <xf numFmtId="0" fontId="46" fillId="0" borderId="0" xfId="11" applyFont="1" applyAlignment="1">
      <alignment vertical="center"/>
    </xf>
    <xf numFmtId="4" fontId="46" fillId="0" borderId="2" xfId="11" applyNumberFormat="1" applyFont="1" applyBorder="1" applyAlignment="1">
      <alignment horizontal="center" vertical="center"/>
    </xf>
    <xf numFmtId="43" fontId="46" fillId="0" borderId="2" xfId="13" applyFont="1" applyFill="1" applyBorder="1" applyAlignment="1">
      <alignment horizontal="center" vertical="center"/>
    </xf>
    <xf numFmtId="0" fontId="46" fillId="0" borderId="2" xfId="12" applyFont="1" applyBorder="1" applyAlignment="1">
      <alignment horizontal="center" vertical="center" wrapText="1"/>
    </xf>
    <xf numFmtId="4" fontId="46" fillId="0" borderId="2" xfId="12" applyNumberFormat="1" applyFont="1" applyBorder="1" applyAlignment="1">
      <alignment horizontal="center" vertical="center"/>
    </xf>
    <xf numFmtId="0" fontId="6" fillId="0" borderId="0" xfId="11" applyFont="1" applyAlignment="1">
      <alignment vertical="center"/>
    </xf>
    <xf numFmtId="0" fontId="45" fillId="0" borderId="2" xfId="12" applyFont="1" applyBorder="1" applyAlignment="1">
      <alignment horizontal="center" vertical="center" wrapText="1"/>
    </xf>
    <xf numFmtId="4" fontId="45" fillId="0" borderId="2" xfId="12" applyNumberFormat="1" applyFont="1" applyBorder="1" applyAlignment="1">
      <alignment horizontal="center" vertical="center"/>
    </xf>
    <xf numFmtId="43" fontId="46" fillId="0" borderId="2" xfId="13" applyFont="1" applyFill="1" applyBorder="1" applyAlignment="1">
      <alignment vertical="center"/>
    </xf>
    <xf numFmtId="43" fontId="50" fillId="0" borderId="2" xfId="13" applyFont="1" applyFill="1" applyBorder="1" applyAlignment="1">
      <alignment vertical="center"/>
    </xf>
    <xf numFmtId="43" fontId="51" fillId="0" borderId="2" xfId="13" applyFont="1" applyFill="1" applyBorder="1" applyAlignment="1">
      <alignment vertical="center"/>
    </xf>
    <xf numFmtId="0" fontId="45" fillId="13" borderId="0" xfId="14" applyFont="1" applyFill="1" applyAlignment="1">
      <alignment horizontal="left" vertical="center"/>
    </xf>
    <xf numFmtId="0" fontId="45" fillId="14" borderId="0" xfId="14" applyFont="1" applyFill="1" applyAlignment="1">
      <alignment horizontal="left" vertical="center"/>
    </xf>
    <xf numFmtId="0" fontId="50" fillId="0" borderId="2" xfId="12" applyFont="1" applyBorder="1" applyAlignment="1">
      <alignment horizontal="center" vertical="center" wrapText="1"/>
    </xf>
    <xf numFmtId="4" fontId="50" fillId="0" borderId="2" xfId="12" applyNumberFormat="1" applyFont="1" applyBorder="1" applyAlignment="1">
      <alignment horizontal="center" vertical="center"/>
    </xf>
    <xf numFmtId="0" fontId="45" fillId="0" borderId="0" xfId="14" applyFont="1" applyAlignment="1">
      <alignment horizontal="left" vertical="center"/>
    </xf>
    <xf numFmtId="0" fontId="46" fillId="0" borderId="2" xfId="14" applyFont="1" applyBorder="1" applyAlignment="1">
      <alignment horizontal="center" vertical="center" wrapText="1"/>
    </xf>
    <xf numFmtId="4" fontId="46" fillId="0" borderId="2" xfId="14" applyNumberFormat="1" applyFont="1" applyBorder="1" applyAlignment="1">
      <alignment horizontal="center" vertical="center"/>
    </xf>
    <xf numFmtId="0" fontId="50" fillId="0" borderId="2" xfId="12" applyFont="1" applyBorder="1" applyAlignment="1">
      <alignment horizontal="left" vertical="center" wrapText="1"/>
    </xf>
    <xf numFmtId="0" fontId="45" fillId="0" borderId="0" xfId="11" applyFont="1" applyAlignment="1">
      <alignment vertical="center"/>
    </xf>
    <xf numFmtId="0" fontId="51" fillId="0" borderId="2" xfId="12" applyFont="1" applyBorder="1" applyAlignment="1">
      <alignment horizontal="left" vertical="center" wrapText="1"/>
    </xf>
    <xf numFmtId="0" fontId="51" fillId="0" borderId="2" xfId="14" applyFont="1" applyBorder="1" applyAlignment="1">
      <alignment horizontal="center" vertical="center" wrapText="1"/>
    </xf>
    <xf numFmtId="4" fontId="51" fillId="0" borderId="2" xfId="14" applyNumberFormat="1" applyFont="1" applyBorder="1" applyAlignment="1">
      <alignment horizontal="center" vertical="center"/>
    </xf>
    <xf numFmtId="0" fontId="46" fillId="0" borderId="2" xfId="14" applyFont="1" applyBorder="1" applyAlignment="1">
      <alignment horizontal="left" vertical="center" wrapText="1"/>
    </xf>
    <xf numFmtId="0" fontId="45" fillId="0" borderId="2" xfId="14" applyFont="1" applyBorder="1" applyAlignment="1">
      <alignment horizontal="left" vertical="center" wrapText="1"/>
    </xf>
    <xf numFmtId="0" fontId="45" fillId="0" borderId="2" xfId="14" applyFont="1" applyBorder="1" applyAlignment="1">
      <alignment horizontal="center" vertical="center" wrapText="1"/>
    </xf>
    <xf numFmtId="4" fontId="45" fillId="0" borderId="2" xfId="14" applyNumberFormat="1" applyFont="1" applyBorder="1" applyAlignment="1">
      <alignment horizontal="center" vertical="center"/>
    </xf>
    <xf numFmtId="0" fontId="51" fillId="0" borderId="2" xfId="14" applyFont="1" applyBorder="1" applyAlignment="1">
      <alignment horizontal="left" vertical="center" wrapText="1"/>
    </xf>
    <xf numFmtId="0" fontId="50" fillId="0" borderId="2" xfId="14" applyFont="1" applyBorder="1" applyAlignment="1">
      <alignment horizontal="left" vertical="center" wrapText="1"/>
    </xf>
    <xf numFmtId="0" fontId="50" fillId="0" borderId="2" xfId="14" applyFont="1" applyBorder="1" applyAlignment="1">
      <alignment horizontal="center" vertical="center" wrapText="1"/>
    </xf>
    <xf numFmtId="4" fontId="50" fillId="0" borderId="2" xfId="14" applyNumberFormat="1" applyFont="1" applyBorder="1" applyAlignment="1">
      <alignment horizontal="center" vertical="center"/>
    </xf>
    <xf numFmtId="43" fontId="50" fillId="0" borderId="2" xfId="13" applyFont="1" applyFill="1" applyBorder="1" applyAlignment="1">
      <alignment horizontal="left" vertical="center"/>
    </xf>
    <xf numFmtId="0" fontId="46" fillId="0" borderId="0" xfId="14" applyFont="1" applyAlignment="1">
      <alignment horizontal="left" vertical="center"/>
    </xf>
    <xf numFmtId="43" fontId="45" fillId="0" borderId="2" xfId="13" applyFont="1" applyFill="1" applyBorder="1" applyAlignment="1">
      <alignment horizontal="left" vertical="center"/>
    </xf>
    <xf numFmtId="4" fontId="46" fillId="0" borderId="2" xfId="11" applyNumberFormat="1" applyFont="1" applyBorder="1" applyAlignment="1">
      <alignment horizontal="center" vertical="center" wrapText="1"/>
    </xf>
    <xf numFmtId="0" fontId="6" fillId="13" borderId="0" xfId="11" applyFont="1" applyFill="1" applyAlignment="1">
      <alignment vertical="center"/>
    </xf>
    <xf numFmtId="0" fontId="6" fillId="15" borderId="0" xfId="11" applyFont="1" applyFill="1" applyAlignment="1">
      <alignment vertical="center"/>
    </xf>
    <xf numFmtId="4" fontId="51" fillId="0" borderId="2" xfId="11" applyNumberFormat="1" applyFont="1" applyBorder="1" applyAlignment="1">
      <alignment horizontal="center" vertical="center" wrapText="1"/>
    </xf>
    <xf numFmtId="0" fontId="4" fillId="13" borderId="0" xfId="11" applyFill="1" applyAlignment="1">
      <alignment vertical="center"/>
    </xf>
    <xf numFmtId="0" fontId="4" fillId="15" borderId="0" xfId="11" applyFill="1" applyAlignment="1">
      <alignment vertical="center"/>
    </xf>
    <xf numFmtId="0" fontId="4" fillId="16" borderId="0" xfId="11" applyFill="1" applyAlignment="1">
      <alignment vertical="center"/>
    </xf>
    <xf numFmtId="43" fontId="56" fillId="0" borderId="0" xfId="14" applyNumberFormat="1" applyFont="1" applyAlignment="1">
      <alignment horizontal="left" vertical="center"/>
    </xf>
    <xf numFmtId="43" fontId="0" fillId="0" borderId="0" xfId="13" applyFont="1" applyAlignment="1">
      <alignment vertical="center"/>
    </xf>
    <xf numFmtId="43" fontId="49" fillId="12" borderId="2" xfId="13" applyFont="1" applyFill="1" applyBorder="1" applyAlignment="1">
      <alignment horizontal="right" vertical="center" wrapText="1"/>
    </xf>
    <xf numFmtId="0" fontId="4" fillId="0" borderId="0" xfId="11" applyAlignment="1">
      <alignment horizontal="center" vertical="center"/>
    </xf>
    <xf numFmtId="4" fontId="6" fillId="0" borderId="0" xfId="11" applyNumberFormat="1" applyFont="1" applyAlignment="1">
      <alignment horizontal="center" vertical="center"/>
    </xf>
    <xf numFmtId="4" fontId="6" fillId="0" borderId="1" xfId="11" applyNumberFormat="1" applyFont="1" applyBorder="1" applyAlignment="1">
      <alignment horizontal="center" vertical="center"/>
    </xf>
    <xf numFmtId="49" fontId="46" fillId="11" borderId="2" xfId="12" applyNumberFormat="1" applyFont="1" applyFill="1" applyBorder="1" applyAlignment="1">
      <alignment horizontal="center" vertical="center" wrapText="1"/>
    </xf>
    <xf numFmtId="43" fontId="49" fillId="12" borderId="0" xfId="13" applyFont="1" applyFill="1" applyBorder="1" applyAlignment="1">
      <alignment horizontal="right" vertical="center" wrapText="1"/>
    </xf>
    <xf numFmtId="2" fontId="46" fillId="0" borderId="2" xfId="12" applyNumberFormat="1" applyFont="1" applyBorder="1" applyAlignment="1">
      <alignment horizontal="center" vertical="center" wrapText="1"/>
    </xf>
    <xf numFmtId="49" fontId="46" fillId="10" borderId="2" xfId="0" applyNumberFormat="1" applyFont="1" applyFill="1" applyBorder="1" applyAlignment="1">
      <alignment horizontal="center" vertical="center" wrapText="1"/>
    </xf>
    <xf numFmtId="43" fontId="45" fillId="0" borderId="2" xfId="10" applyFont="1" applyFill="1" applyBorder="1" applyAlignment="1">
      <alignment horizontal="left" vertical="center"/>
    </xf>
    <xf numFmtId="0" fontId="45" fillId="0" borderId="2" xfId="12" applyFont="1" applyBorder="1" applyAlignment="1">
      <alignment horizontal="right" vertical="center" wrapText="1"/>
    </xf>
    <xf numFmtId="0" fontId="45" fillId="0" borderId="2" xfId="12" applyFont="1" applyBorder="1" applyAlignment="1">
      <alignment horizontal="left" vertical="center" wrapText="1"/>
    </xf>
    <xf numFmtId="0" fontId="46" fillId="0" borderId="2" xfId="15" applyFont="1" applyBorder="1" applyAlignment="1">
      <alignment horizontal="center" vertical="center" wrapText="1"/>
    </xf>
    <xf numFmtId="4" fontId="46" fillId="0" borderId="2" xfId="15" applyNumberFormat="1" applyFont="1" applyBorder="1" applyAlignment="1">
      <alignment horizontal="center" vertical="center"/>
    </xf>
    <xf numFmtId="0" fontId="46" fillId="0" borderId="2" xfId="12" applyFont="1" applyBorder="1" applyAlignment="1">
      <alignment horizontal="left" vertical="center" wrapText="1"/>
    </xf>
    <xf numFmtId="49" fontId="45" fillId="13" borderId="2" xfId="14" quotePrefix="1" applyNumberFormat="1" applyFont="1" applyFill="1" applyBorder="1" applyAlignment="1">
      <alignment horizontal="center" vertical="center" wrapText="1"/>
    </xf>
    <xf numFmtId="0" fontId="0" fillId="13" borderId="0" xfId="0" applyFill="1" applyAlignment="1">
      <alignment vertical="center"/>
    </xf>
    <xf numFmtId="0" fontId="0" fillId="15" borderId="0" xfId="0" applyFill="1" applyAlignment="1">
      <alignment vertical="center"/>
    </xf>
    <xf numFmtId="43" fontId="46" fillId="0" borderId="2" xfId="10" applyFont="1" applyFill="1" applyBorder="1" applyAlignment="1">
      <alignment vertical="center"/>
    </xf>
    <xf numFmtId="0" fontId="46" fillId="0" borderId="2" xfId="12" applyFont="1" applyBorder="1" applyAlignment="1">
      <alignment horizontal="right" vertical="center" wrapText="1"/>
    </xf>
    <xf numFmtId="4" fontId="46" fillId="0" borderId="2" xfId="12" applyNumberFormat="1" applyFont="1" applyBorder="1" applyAlignment="1">
      <alignment horizontal="left" vertical="center" wrapText="1"/>
    </xf>
    <xf numFmtId="49" fontId="46" fillId="13" borderId="2" xfId="14" quotePrefix="1" applyNumberFormat="1" applyFont="1" applyFill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/>
    </xf>
    <xf numFmtId="49" fontId="46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46" fillId="0" borderId="2" xfId="12" applyNumberFormat="1" applyFont="1" applyBorder="1" applyAlignment="1">
      <alignment horizontal="center" vertical="center" wrapText="1"/>
    </xf>
    <xf numFmtId="4" fontId="46" fillId="0" borderId="2" xfId="0" applyNumberFormat="1" applyFont="1" applyBorder="1" applyAlignment="1">
      <alignment horizontal="center" vertical="center"/>
    </xf>
    <xf numFmtId="49" fontId="46" fillId="13" borderId="2" xfId="0" applyNumberFormat="1" applyFont="1" applyFill="1" applyBorder="1" applyAlignment="1">
      <alignment horizontal="center" vertical="center" wrapText="1"/>
    </xf>
    <xf numFmtId="49" fontId="46" fillId="0" borderId="2" xfId="11" applyNumberFormat="1" applyFont="1" applyBorder="1" applyAlignment="1">
      <alignment horizontal="center" vertical="center"/>
    </xf>
    <xf numFmtId="49" fontId="46" fillId="0" borderId="2" xfId="15" applyNumberFormat="1" applyFont="1" applyBorder="1" applyAlignment="1">
      <alignment horizontal="center" vertical="center" wrapText="1"/>
    </xf>
    <xf numFmtId="49" fontId="45" fillId="0" borderId="2" xfId="14" applyNumberFormat="1" applyFont="1" applyBorder="1" applyAlignment="1">
      <alignment horizontal="center" vertical="center" wrapText="1"/>
    </xf>
    <xf numFmtId="49" fontId="46" fillId="0" borderId="2" xfId="14" applyNumberFormat="1" applyFont="1" applyBorder="1" applyAlignment="1">
      <alignment horizontal="center" vertical="center" wrapText="1"/>
    </xf>
    <xf numFmtId="49" fontId="46" fillId="10" borderId="2" xfId="11" applyNumberFormat="1" applyFont="1" applyFill="1" applyBorder="1" applyAlignment="1">
      <alignment horizontal="center" vertical="center" wrapText="1"/>
    </xf>
    <xf numFmtId="49" fontId="46" fillId="0" borderId="2" xfId="11" applyNumberFormat="1" applyFont="1" applyBorder="1" applyAlignment="1">
      <alignment horizontal="center" vertical="center" wrapText="1"/>
    </xf>
    <xf numFmtId="49" fontId="46" fillId="9" borderId="2" xfId="12" applyNumberFormat="1" applyFont="1" applyFill="1" applyBorder="1" applyAlignment="1">
      <alignment horizontal="center" vertical="center" wrapText="1"/>
    </xf>
    <xf numFmtId="49" fontId="6" fillId="0" borderId="0" xfId="11" applyNumberFormat="1" applyFont="1" applyAlignment="1">
      <alignment horizontal="center" vertical="center"/>
    </xf>
    <xf numFmtId="49" fontId="4" fillId="0" borderId="0" xfId="11" applyNumberFormat="1" applyAlignment="1">
      <alignment vertical="center"/>
    </xf>
    <xf numFmtId="0" fontId="46" fillId="0" borderId="2" xfId="11" applyFont="1" applyBorder="1" applyAlignment="1">
      <alignment horizontal="center" vertical="center" wrapText="1"/>
    </xf>
    <xf numFmtId="2" fontId="46" fillId="0" borderId="2" xfId="0" applyNumberFormat="1" applyFont="1" applyBorder="1" applyAlignment="1">
      <alignment horizontal="center" vertical="center"/>
    </xf>
    <xf numFmtId="49" fontId="46" fillId="0" borderId="2" xfId="12" quotePrefix="1" applyNumberFormat="1" applyFont="1" applyBorder="1" applyAlignment="1">
      <alignment horizontal="center" vertical="center" wrapText="1"/>
    </xf>
    <xf numFmtId="49" fontId="46" fillId="0" borderId="2" xfId="14" quotePrefix="1" applyNumberFormat="1" applyFont="1" applyBorder="1" applyAlignment="1">
      <alignment horizontal="center" vertical="center" wrapText="1"/>
    </xf>
    <xf numFmtId="49" fontId="46" fillId="0" borderId="2" xfId="0" applyNumberFormat="1" applyFont="1" applyBorder="1" applyAlignment="1">
      <alignment horizontal="center" vertical="center" wrapText="1"/>
    </xf>
    <xf numFmtId="49" fontId="46" fillId="11" borderId="2" xfId="12" quotePrefix="1" applyNumberFormat="1" applyFont="1" applyFill="1" applyBorder="1" applyAlignment="1">
      <alignment horizontal="center" vertical="center" wrapText="1"/>
    </xf>
    <xf numFmtId="49" fontId="50" fillId="0" borderId="2" xfId="12" quotePrefix="1" applyNumberFormat="1" applyFont="1" applyBorder="1" applyAlignment="1">
      <alignment horizontal="center" vertical="center" wrapText="1"/>
    </xf>
    <xf numFmtId="49" fontId="51" fillId="11" borderId="2" xfId="12" applyNumberFormat="1" applyFont="1" applyFill="1" applyBorder="1" applyAlignment="1">
      <alignment horizontal="center" vertical="center" wrapText="1"/>
    </xf>
    <xf numFmtId="49" fontId="51" fillId="0" borderId="2" xfId="12" quotePrefix="1" applyNumberFormat="1" applyFont="1" applyBorder="1" applyAlignment="1">
      <alignment horizontal="center" vertical="center" wrapText="1"/>
    </xf>
    <xf numFmtId="49" fontId="51" fillId="0" borderId="2" xfId="12" applyNumberFormat="1" applyFont="1" applyBorder="1" applyAlignment="1">
      <alignment horizontal="center" vertical="center" wrapText="1"/>
    </xf>
    <xf numFmtId="49" fontId="57" fillId="0" borderId="2" xfId="14" applyNumberFormat="1" applyFont="1" applyBorder="1" applyAlignment="1">
      <alignment horizontal="center" vertical="center" wrapText="1"/>
    </xf>
    <xf numFmtId="49" fontId="51" fillId="0" borderId="2" xfId="14" applyNumberFormat="1" applyFont="1" applyBorder="1" applyAlignment="1">
      <alignment horizontal="center" vertical="center" wrapText="1"/>
    </xf>
    <xf numFmtId="49" fontId="46" fillId="0" borderId="2" xfId="15" quotePrefix="1" applyNumberFormat="1" applyFont="1" applyBorder="1" applyAlignment="1">
      <alignment horizontal="center" vertical="center" wrapText="1"/>
    </xf>
    <xf numFmtId="49" fontId="50" fillId="0" borderId="2" xfId="14" quotePrefix="1" applyNumberFormat="1" applyFont="1" applyBorder="1" applyAlignment="1">
      <alignment horizontal="center" vertical="center" wrapText="1"/>
    </xf>
    <xf numFmtId="49" fontId="45" fillId="0" borderId="2" xfId="14" quotePrefix="1" applyNumberFormat="1" applyFont="1" applyBorder="1" applyAlignment="1">
      <alignment horizontal="center" vertical="center" wrapText="1"/>
    </xf>
    <xf numFmtId="49" fontId="50" fillId="0" borderId="2" xfId="15" quotePrefix="1" applyNumberFormat="1" applyFont="1" applyBorder="1" applyAlignment="1">
      <alignment horizontal="center" vertical="center" wrapText="1"/>
    </xf>
    <xf numFmtId="43" fontId="46" fillId="0" borderId="2" xfId="10" applyFont="1" applyBorder="1" applyAlignment="1">
      <alignment horizontal="center" vertical="center" wrapText="1"/>
    </xf>
    <xf numFmtId="43" fontId="46" fillId="0" borderId="2" xfId="10" applyFont="1" applyFill="1" applyBorder="1" applyAlignment="1">
      <alignment horizontal="center" vertical="center"/>
    </xf>
    <xf numFmtId="43" fontId="0" fillId="0" borderId="0" xfId="10" applyFont="1" applyAlignment="1">
      <alignment vertical="center"/>
    </xf>
    <xf numFmtId="43" fontId="4" fillId="0" borderId="0" xfId="10" applyFont="1" applyAlignment="1">
      <alignment vertical="center"/>
    </xf>
    <xf numFmtId="4" fontId="45" fillId="0" borderId="2" xfId="0" applyNumberFormat="1" applyFont="1" applyBorder="1" applyAlignment="1">
      <alignment horizontal="center" vertical="center"/>
    </xf>
    <xf numFmtId="43" fontId="49" fillId="12" borderId="2" xfId="10" applyFont="1" applyFill="1" applyBorder="1" applyAlignment="1">
      <alignment horizontal="right" vertical="center" wrapText="1"/>
    </xf>
    <xf numFmtId="49" fontId="47" fillId="17" borderId="2" xfId="12" applyNumberFormat="1" applyFont="1" applyFill="1" applyBorder="1" applyAlignment="1">
      <alignment horizontal="right" vertical="center" wrapText="1"/>
    </xf>
    <xf numFmtId="43" fontId="50" fillId="0" borderId="2" xfId="10" applyFont="1" applyFill="1" applyBorder="1" applyAlignment="1">
      <alignment vertical="center"/>
    </xf>
    <xf numFmtId="49" fontId="51" fillId="0" borderId="2" xfId="11" applyNumberFormat="1" applyFont="1" applyBorder="1" applyAlignment="1">
      <alignment horizontal="center" vertical="center"/>
    </xf>
    <xf numFmtId="43" fontId="51" fillId="0" borderId="2" xfId="10" applyFont="1" applyFill="1" applyBorder="1" applyAlignment="1">
      <alignment vertical="center"/>
    </xf>
    <xf numFmtId="43" fontId="50" fillId="0" borderId="2" xfId="10" applyFont="1" applyFill="1" applyBorder="1" applyAlignment="1">
      <alignment horizontal="left" vertical="center"/>
    </xf>
    <xf numFmtId="49" fontId="50" fillId="0" borderId="2" xfId="14" applyNumberFormat="1" applyFont="1" applyBorder="1" applyAlignment="1">
      <alignment horizontal="center" vertical="center" wrapText="1"/>
    </xf>
    <xf numFmtId="49" fontId="51" fillId="0" borderId="2" xfId="0" applyNumberFormat="1" applyFont="1" applyBorder="1" applyAlignment="1">
      <alignment horizontal="center" vertical="center"/>
    </xf>
    <xf numFmtId="49" fontId="46" fillId="13" borderId="2" xfId="12" applyNumberFormat="1" applyFont="1" applyFill="1" applyBorder="1" applyAlignment="1">
      <alignment horizontal="center" vertical="center" wrapText="1"/>
    </xf>
    <xf numFmtId="43" fontId="47" fillId="18" borderId="2" xfId="10" applyFont="1" applyFill="1" applyBorder="1" applyAlignment="1">
      <alignment horizontal="right" vertical="center" wrapText="1"/>
    </xf>
    <xf numFmtId="43" fontId="49" fillId="19" borderId="2" xfId="10" applyFont="1" applyFill="1" applyBorder="1" applyAlignment="1">
      <alignment vertical="center"/>
    </xf>
    <xf numFmtId="43" fontId="47" fillId="17" borderId="2" xfId="10" applyFont="1" applyFill="1" applyBorder="1" applyAlignment="1">
      <alignment vertical="center" wrapText="1"/>
    </xf>
    <xf numFmtId="43" fontId="47" fillId="18" borderId="2" xfId="10" applyFont="1" applyFill="1" applyBorder="1" applyAlignment="1">
      <alignment vertical="center" wrapText="1"/>
    </xf>
    <xf numFmtId="165" fontId="46" fillId="0" borderId="2" xfId="12" applyNumberFormat="1" applyFont="1" applyBorder="1" applyAlignment="1">
      <alignment horizontal="center" vertical="center" wrapText="1"/>
    </xf>
    <xf numFmtId="43" fontId="45" fillId="0" borderId="2" xfId="10" applyFont="1" applyFill="1" applyBorder="1" applyAlignment="1">
      <alignment horizontal="center" vertical="center"/>
    </xf>
    <xf numFmtId="43" fontId="46" fillId="0" borderId="2" xfId="10" applyFont="1" applyBorder="1" applyAlignment="1">
      <alignment horizontal="center" vertical="center"/>
    </xf>
    <xf numFmtId="49" fontId="45" fillId="0" borderId="2" xfId="15" quotePrefix="1" applyNumberFormat="1" applyFont="1" applyBorder="1" applyAlignment="1">
      <alignment horizontal="center" vertical="center" wrapText="1"/>
    </xf>
    <xf numFmtId="43" fontId="45" fillId="0" borderId="2" xfId="10" applyFont="1" applyBorder="1" applyAlignment="1">
      <alignment horizontal="center" vertical="center"/>
    </xf>
    <xf numFmtId="49" fontId="46" fillId="13" borderId="2" xfId="15" applyNumberFormat="1" applyFont="1" applyFill="1" applyBorder="1" applyAlignment="1">
      <alignment horizontal="center" vertical="center" wrapText="1"/>
    </xf>
    <xf numFmtId="0" fontId="45" fillId="0" borderId="2" xfId="15" applyFont="1" applyBorder="1" applyAlignment="1">
      <alignment horizontal="center" vertical="center" wrapText="1"/>
    </xf>
    <xf numFmtId="4" fontId="45" fillId="0" borderId="2" xfId="15" applyNumberFormat="1" applyFont="1" applyBorder="1" applyAlignment="1">
      <alignment horizontal="center" vertical="center"/>
    </xf>
    <xf numFmtId="49" fontId="46" fillId="0" borderId="2" xfId="14" applyNumberFormat="1" applyFont="1" applyBorder="1" applyAlignment="1">
      <alignment vertical="center" wrapText="1"/>
    </xf>
    <xf numFmtId="49" fontId="46" fillId="0" borderId="2" xfId="14" quotePrefix="1" applyNumberFormat="1" applyFont="1" applyBorder="1" applyAlignment="1">
      <alignment vertical="center" wrapText="1"/>
    </xf>
    <xf numFmtId="0" fontId="44" fillId="9" borderId="0" xfId="11" applyFont="1" applyFill="1" applyAlignment="1">
      <alignment horizontal="center" vertical="center" wrapText="1"/>
    </xf>
    <xf numFmtId="0" fontId="46" fillId="10" borderId="0" xfId="0" applyFont="1" applyFill="1" applyAlignment="1">
      <alignment horizontal="center" vertical="center" wrapText="1"/>
    </xf>
    <xf numFmtId="0" fontId="46" fillId="0" borderId="0" xfId="11" applyFont="1" applyAlignment="1">
      <alignment horizontal="center" vertical="center" wrapText="1"/>
    </xf>
    <xf numFmtId="165" fontId="47" fillId="9" borderId="0" xfId="12" applyNumberFormat="1" applyFont="1" applyFill="1" applyAlignment="1">
      <alignment horizontal="center" vertical="center" wrapText="1"/>
    </xf>
    <xf numFmtId="0" fontId="46" fillId="10" borderId="0" xfId="11" applyFont="1" applyFill="1" applyAlignment="1">
      <alignment horizontal="left" vertical="center" wrapText="1"/>
    </xf>
    <xf numFmtId="0" fontId="46" fillId="11" borderId="0" xfId="12" applyFont="1" applyFill="1" applyAlignment="1">
      <alignment horizontal="left" vertical="center" wrapText="1"/>
    </xf>
    <xf numFmtId="43" fontId="45" fillId="0" borderId="0" xfId="13" applyFont="1" applyFill="1" applyBorder="1" applyAlignment="1">
      <alignment horizontal="center" vertical="center"/>
    </xf>
    <xf numFmtId="165" fontId="47" fillId="9" borderId="0" xfId="12" applyNumberFormat="1" applyFont="1" applyFill="1" applyAlignment="1">
      <alignment horizontal="left" vertical="center" wrapText="1"/>
    </xf>
    <xf numFmtId="0" fontId="46" fillId="10" borderId="0" xfId="0" applyFont="1" applyFill="1" applyAlignment="1">
      <alignment horizontal="left" vertical="center" wrapText="1"/>
    </xf>
    <xf numFmtId="2" fontId="46" fillId="0" borderId="0" xfId="12" applyNumberFormat="1" applyFont="1" applyAlignment="1">
      <alignment horizontal="center" vertical="center" wrapText="1"/>
    </xf>
    <xf numFmtId="4" fontId="46" fillId="0" borderId="0" xfId="11" applyNumberFormat="1" applyFont="1" applyAlignment="1">
      <alignment horizontal="center" vertical="center"/>
    </xf>
    <xf numFmtId="4" fontId="45" fillId="0" borderId="0" xfId="11" applyNumberFormat="1" applyFont="1" applyAlignment="1">
      <alignment horizontal="center" vertical="center"/>
    </xf>
    <xf numFmtId="0" fontId="46" fillId="11" borderId="0" xfId="12" applyFont="1" applyFill="1" applyAlignment="1">
      <alignment vertical="center" wrapText="1"/>
    </xf>
    <xf numFmtId="4" fontId="46" fillId="0" borderId="0" xfId="12" applyNumberFormat="1" applyFont="1" applyAlignment="1">
      <alignment horizontal="center" vertical="center"/>
    </xf>
    <xf numFmtId="0" fontId="47" fillId="18" borderId="0" xfId="12" applyFont="1" applyFill="1" applyAlignment="1">
      <alignment horizontal="right" vertical="center" wrapText="1"/>
    </xf>
    <xf numFmtId="43" fontId="50" fillId="0" borderId="0" xfId="13" applyFont="1" applyFill="1" applyBorder="1" applyAlignment="1">
      <alignment vertical="center"/>
    </xf>
    <xf numFmtId="4" fontId="46" fillId="0" borderId="0" xfId="15" applyNumberFormat="1" applyFont="1" applyAlignment="1">
      <alignment horizontal="center" vertical="center"/>
    </xf>
    <xf numFmtId="43" fontId="46" fillId="0" borderId="0" xfId="13" applyFont="1" applyFill="1" applyBorder="1" applyAlignment="1">
      <alignment vertical="center"/>
    </xf>
    <xf numFmtId="4" fontId="46" fillId="0" borderId="0" xfId="14" applyNumberFormat="1" applyFont="1" applyAlignment="1">
      <alignment horizontal="center" vertical="center"/>
    </xf>
    <xf numFmtId="43" fontId="46" fillId="0" borderId="0" xfId="13" applyFont="1" applyFill="1" applyBorder="1" applyAlignment="1">
      <alignment horizontal="center" vertical="center"/>
    </xf>
    <xf numFmtId="43" fontId="50" fillId="0" borderId="0" xfId="13" applyFont="1" applyFill="1" applyBorder="1" applyAlignment="1">
      <alignment horizontal="left" vertical="center"/>
    </xf>
    <xf numFmtId="4" fontId="45" fillId="0" borderId="0" xfId="14" applyNumberFormat="1" applyFont="1" applyAlignment="1">
      <alignment horizontal="center" vertical="center"/>
    </xf>
    <xf numFmtId="43" fontId="51" fillId="0" borderId="0" xfId="13" applyFont="1" applyFill="1" applyBorder="1" applyAlignment="1">
      <alignment vertical="center"/>
    </xf>
    <xf numFmtId="2" fontId="46" fillId="0" borderId="0" xfId="0" applyNumberFormat="1" applyFont="1" applyAlignment="1">
      <alignment horizontal="center" vertical="center"/>
    </xf>
    <xf numFmtId="0" fontId="46" fillId="11" borderId="0" xfId="15" applyFont="1" applyFill="1" applyAlignment="1">
      <alignment horizontal="left" vertical="center" wrapText="1"/>
    </xf>
    <xf numFmtId="4" fontId="45" fillId="0" borderId="0" xfId="15" applyNumberFormat="1" applyFont="1" applyAlignment="1">
      <alignment horizontal="center" vertical="center"/>
    </xf>
    <xf numFmtId="43" fontId="45" fillId="0" borderId="0" xfId="13" applyFont="1" applyFill="1" applyBorder="1" applyAlignment="1">
      <alignment horizontal="left" vertical="center"/>
    </xf>
    <xf numFmtId="0" fontId="47" fillId="17" borderId="0" xfId="12" applyFont="1" applyFill="1" applyAlignment="1">
      <alignment horizontal="right" vertical="center" wrapText="1"/>
    </xf>
    <xf numFmtId="0" fontId="49" fillId="19" borderId="0" xfId="11" applyFont="1" applyFill="1" applyAlignment="1">
      <alignment horizontal="right" vertical="center"/>
    </xf>
    <xf numFmtId="43" fontId="45" fillId="0" borderId="2" xfId="10" applyFont="1" applyBorder="1" applyAlignment="1">
      <alignment horizontal="center" vertical="center" wrapText="1"/>
    </xf>
    <xf numFmtId="49" fontId="46" fillId="0" borderId="2" xfId="12" applyNumberFormat="1" applyFont="1" applyBorder="1" applyAlignment="1">
      <alignment horizontal="center" vertical="center" wrapText="1"/>
    </xf>
    <xf numFmtId="43" fontId="46" fillId="0" borderId="2" xfId="10" applyFont="1" applyBorder="1" applyAlignment="1">
      <alignment vertical="center" wrapText="1"/>
    </xf>
    <xf numFmtId="0" fontId="40" fillId="0" borderId="0" xfId="0" applyFont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40" xfId="0" applyFont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 wrapText="1"/>
    </xf>
    <xf numFmtId="0" fontId="38" fillId="0" borderId="41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 wrapText="1"/>
    </xf>
    <xf numFmtId="0" fontId="11" fillId="0" borderId="0" xfId="0" applyFont="1" applyAlignment="1">
      <alignment horizontal="center"/>
    </xf>
    <xf numFmtId="0" fontId="38" fillId="0" borderId="23" xfId="0" applyFont="1" applyBorder="1" applyAlignment="1">
      <alignment vertical="center" wrapText="1"/>
    </xf>
    <xf numFmtId="0" fontId="41" fillId="0" borderId="23" xfId="0" applyFont="1" applyBorder="1" applyAlignment="1">
      <alignment horizontal="center" vertical="center" wrapText="1"/>
    </xf>
    <xf numFmtId="0" fontId="41" fillId="0" borderId="41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37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0" fontId="39" fillId="8" borderId="7" xfId="0" applyFont="1" applyFill="1" applyBorder="1" applyAlignment="1">
      <alignment horizontal="center" vertical="top" wrapText="1"/>
    </xf>
    <xf numFmtId="0" fontId="38" fillId="8" borderId="2" xfId="0" applyFont="1" applyFill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9" fillId="8" borderId="13" xfId="0" applyFont="1" applyFill="1" applyBorder="1" applyAlignment="1">
      <alignment horizontal="center" vertical="center" wrapText="1"/>
    </xf>
    <xf numFmtId="0" fontId="39" fillId="8" borderId="7" xfId="0" applyFont="1" applyFill="1" applyBorder="1" applyAlignment="1">
      <alignment horizontal="center" vertical="center" wrapText="1"/>
    </xf>
    <xf numFmtId="0" fontId="49" fillId="19" borderId="20" xfId="11" applyFont="1" applyFill="1" applyBorder="1" applyAlignment="1">
      <alignment horizontal="right" vertical="center"/>
    </xf>
    <xf numFmtId="0" fontId="49" fillId="19" borderId="22" xfId="11" applyFont="1" applyFill="1" applyBorder="1" applyAlignment="1">
      <alignment horizontal="right" vertical="center"/>
    </xf>
    <xf numFmtId="0" fontId="49" fillId="19" borderId="21" xfId="11" applyFont="1" applyFill="1" applyBorder="1" applyAlignment="1">
      <alignment horizontal="right" vertical="center"/>
    </xf>
    <xf numFmtId="0" fontId="47" fillId="17" borderId="2" xfId="12" applyFont="1" applyFill="1" applyBorder="1" applyAlignment="1">
      <alignment horizontal="right" vertical="center" wrapText="1"/>
    </xf>
    <xf numFmtId="165" fontId="47" fillId="9" borderId="2" xfId="12" applyNumberFormat="1" applyFont="1" applyFill="1" applyBorder="1" applyAlignment="1">
      <alignment horizontal="center" vertical="center" wrapText="1"/>
    </xf>
    <xf numFmtId="0" fontId="46" fillId="10" borderId="2" xfId="0" applyFont="1" applyFill="1" applyBorder="1" applyAlignment="1">
      <alignment horizontal="left" vertical="center" wrapText="1"/>
    </xf>
    <xf numFmtId="0" fontId="47" fillId="18" borderId="2" xfId="12" applyFont="1" applyFill="1" applyBorder="1" applyAlignment="1">
      <alignment horizontal="right" vertical="center" wrapText="1"/>
    </xf>
    <xf numFmtId="0" fontId="45" fillId="0" borderId="2" xfId="15" applyFont="1" applyBorder="1" applyAlignment="1">
      <alignment horizontal="left" vertical="center" wrapText="1"/>
    </xf>
    <xf numFmtId="0" fontId="46" fillId="0" borderId="2" xfId="15" applyFont="1" applyBorder="1" applyAlignment="1">
      <alignment horizontal="left" vertical="center" wrapText="1"/>
    </xf>
    <xf numFmtId="0" fontId="46" fillId="10" borderId="2" xfId="11" applyFont="1" applyFill="1" applyBorder="1" applyAlignment="1">
      <alignment horizontal="left" vertical="center" wrapText="1"/>
    </xf>
    <xf numFmtId="0" fontId="46" fillId="11" borderId="2" xfId="12" applyFont="1" applyFill="1" applyBorder="1" applyAlignment="1">
      <alignment horizontal="left" vertical="center" wrapText="1"/>
    </xf>
    <xf numFmtId="0" fontId="46" fillId="0" borderId="2" xfId="14" applyFont="1" applyBorder="1" applyAlignment="1">
      <alignment horizontal="left" vertical="center" wrapText="1"/>
    </xf>
    <xf numFmtId="0" fontId="45" fillId="0" borderId="2" xfId="14" applyFont="1" applyBorder="1" applyAlignment="1">
      <alignment horizontal="left" vertical="center" wrapText="1"/>
    </xf>
    <xf numFmtId="0" fontId="45" fillId="0" borderId="2" xfId="0" applyFont="1" applyBorder="1" applyAlignment="1">
      <alignment horizontal="left" vertical="center" wrapText="1"/>
    </xf>
    <xf numFmtId="0" fontId="46" fillId="11" borderId="2" xfId="15" applyFont="1" applyFill="1" applyBorder="1" applyAlignment="1">
      <alignment horizontal="left" vertical="center" wrapText="1"/>
    </xf>
    <xf numFmtId="0" fontId="46" fillId="0" borderId="2" xfId="12" applyFont="1" applyBorder="1" applyAlignment="1">
      <alignment horizontal="left" vertical="center" wrapText="1"/>
    </xf>
    <xf numFmtId="0" fontId="50" fillId="0" borderId="2" xfId="15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5" fillId="0" borderId="20" xfId="0" applyFont="1" applyBorder="1" applyAlignment="1">
      <alignment horizontal="left" vertical="center" wrapText="1"/>
    </xf>
    <xf numFmtId="0" fontId="45" fillId="0" borderId="22" xfId="0" applyFont="1" applyBorder="1" applyAlignment="1">
      <alignment horizontal="left" vertical="center" wrapText="1"/>
    </xf>
    <xf numFmtId="0" fontId="45" fillId="0" borderId="21" xfId="0" applyFont="1" applyBorder="1" applyAlignment="1">
      <alignment horizontal="left" vertical="center" wrapText="1"/>
    </xf>
    <xf numFmtId="0" fontId="45" fillId="0" borderId="20" xfId="14" applyFont="1" applyBorder="1" applyAlignment="1">
      <alignment horizontal="left" vertical="center" wrapText="1"/>
    </xf>
    <xf numFmtId="0" fontId="45" fillId="0" borderId="22" xfId="14" applyFont="1" applyBorder="1" applyAlignment="1">
      <alignment horizontal="left" vertical="center" wrapText="1"/>
    </xf>
    <xf numFmtId="0" fontId="45" fillId="0" borderId="21" xfId="14" applyFont="1" applyBorder="1" applyAlignment="1">
      <alignment horizontal="left" vertical="center" wrapText="1"/>
    </xf>
    <xf numFmtId="0" fontId="51" fillId="11" borderId="2" xfId="12" applyFont="1" applyFill="1" applyBorder="1" applyAlignment="1">
      <alignment horizontal="left" vertical="center" wrapText="1"/>
    </xf>
    <xf numFmtId="0" fontId="45" fillId="0" borderId="40" xfId="14" applyFont="1" applyBorder="1" applyAlignment="1">
      <alignment horizontal="left" vertical="center" wrapText="1"/>
    </xf>
    <xf numFmtId="0" fontId="45" fillId="0" borderId="23" xfId="14" applyFont="1" applyBorder="1" applyAlignment="1">
      <alignment horizontal="left" vertical="center" wrapText="1"/>
    </xf>
    <xf numFmtId="0" fontId="45" fillId="0" borderId="41" xfId="14" applyFont="1" applyBorder="1" applyAlignment="1">
      <alignment horizontal="left" vertical="center" wrapText="1"/>
    </xf>
    <xf numFmtId="0" fontId="45" fillId="0" borderId="20" xfId="12" applyFont="1" applyBorder="1" applyAlignment="1">
      <alignment horizontal="left" vertical="center" wrapText="1"/>
    </xf>
    <xf numFmtId="0" fontId="45" fillId="0" borderId="22" xfId="12" applyFont="1" applyBorder="1" applyAlignment="1">
      <alignment horizontal="left" vertical="center" wrapText="1"/>
    </xf>
    <xf numFmtId="0" fontId="45" fillId="0" borderId="21" xfId="12" applyFont="1" applyBorder="1" applyAlignment="1">
      <alignment horizontal="left" vertical="center" wrapText="1"/>
    </xf>
    <xf numFmtId="0" fontId="46" fillId="0" borderId="2" xfId="14" quotePrefix="1" applyFont="1" applyBorder="1" applyAlignment="1">
      <alignment horizontal="left" vertical="center" wrapText="1"/>
    </xf>
    <xf numFmtId="0" fontId="46" fillId="0" borderId="2" xfId="15" quotePrefix="1" applyFont="1" applyBorder="1" applyAlignment="1">
      <alignment horizontal="left" vertical="center" wrapText="1"/>
    </xf>
    <xf numFmtId="0" fontId="45" fillId="0" borderId="2" xfId="12" applyFont="1" applyBorder="1" applyAlignment="1">
      <alignment horizontal="left" vertical="center" wrapText="1"/>
    </xf>
    <xf numFmtId="0" fontId="50" fillId="0" borderId="20" xfId="12" applyFont="1" applyBorder="1" applyAlignment="1">
      <alignment horizontal="left" vertical="center" wrapText="1"/>
    </xf>
    <xf numFmtId="0" fontId="50" fillId="0" borderId="22" xfId="12" applyFont="1" applyBorder="1" applyAlignment="1">
      <alignment horizontal="left" vertical="center" wrapText="1"/>
    </xf>
    <xf numFmtId="0" fontId="50" fillId="0" borderId="21" xfId="12" applyFont="1" applyBorder="1" applyAlignment="1">
      <alignment horizontal="left" vertical="center" wrapText="1"/>
    </xf>
    <xf numFmtId="0" fontId="46" fillId="0" borderId="2" xfId="12" quotePrefix="1" applyFont="1" applyBorder="1" applyAlignment="1">
      <alignment vertical="center" wrapText="1"/>
    </xf>
    <xf numFmtId="0" fontId="46" fillId="0" borderId="2" xfId="12" applyFont="1" applyBorder="1" applyAlignment="1">
      <alignment vertical="center" wrapText="1"/>
    </xf>
    <xf numFmtId="49" fontId="46" fillId="0" borderId="2" xfId="12" applyNumberFormat="1" applyFont="1" applyBorder="1" applyAlignment="1">
      <alignment horizontal="center" vertical="center" wrapText="1"/>
    </xf>
    <xf numFmtId="49" fontId="46" fillId="0" borderId="2" xfId="12" quotePrefix="1" applyNumberFormat="1" applyFont="1" applyBorder="1" applyAlignment="1">
      <alignment horizontal="center" vertical="center" wrapText="1"/>
    </xf>
    <xf numFmtId="4" fontId="46" fillId="0" borderId="20" xfId="12" applyNumberFormat="1" applyFont="1" applyBorder="1" applyAlignment="1">
      <alignment horizontal="left" vertical="center" wrapText="1"/>
    </xf>
    <xf numFmtId="4" fontId="46" fillId="0" borderId="22" xfId="12" applyNumberFormat="1" applyFont="1" applyBorder="1" applyAlignment="1">
      <alignment horizontal="left" vertical="center" wrapText="1"/>
    </xf>
    <xf numFmtId="4" fontId="46" fillId="0" borderId="21" xfId="12" applyNumberFormat="1" applyFont="1" applyBorder="1" applyAlignment="1">
      <alignment horizontal="left" vertical="center" wrapText="1"/>
    </xf>
    <xf numFmtId="0" fontId="46" fillId="11" borderId="2" xfId="12" applyFont="1" applyFill="1" applyBorder="1" applyAlignment="1">
      <alignment vertical="center" wrapText="1"/>
    </xf>
    <xf numFmtId="4" fontId="46" fillId="0" borderId="2" xfId="12" applyNumberFormat="1" applyFont="1" applyBorder="1" applyAlignment="1">
      <alignment horizontal="left" vertical="center" wrapText="1"/>
    </xf>
    <xf numFmtId="165" fontId="47" fillId="9" borderId="2" xfId="12" applyNumberFormat="1" applyFont="1" applyFill="1" applyBorder="1" applyAlignment="1">
      <alignment horizontal="left" vertical="center" wrapText="1"/>
    </xf>
    <xf numFmtId="43" fontId="49" fillId="12" borderId="2" xfId="13" applyFont="1" applyFill="1" applyBorder="1" applyAlignment="1">
      <alignment horizontal="right" vertical="center" wrapText="1"/>
    </xf>
    <xf numFmtId="0" fontId="44" fillId="9" borderId="2" xfId="11" applyFont="1" applyFill="1" applyBorder="1" applyAlignment="1">
      <alignment horizontal="center" vertical="center" wrapText="1"/>
    </xf>
    <xf numFmtId="0" fontId="49" fillId="10" borderId="20" xfId="0" applyFont="1" applyFill="1" applyBorder="1" applyAlignment="1">
      <alignment horizontal="center" vertical="center" wrapText="1"/>
    </xf>
    <xf numFmtId="0" fontId="46" fillId="10" borderId="22" xfId="0" applyFont="1" applyFill="1" applyBorder="1" applyAlignment="1">
      <alignment horizontal="center" vertical="center" wrapText="1"/>
    </xf>
    <xf numFmtId="0" fontId="46" fillId="10" borderId="21" xfId="0" applyFont="1" applyFill="1" applyBorder="1" applyAlignment="1">
      <alignment horizontal="center" vertical="center" wrapText="1"/>
    </xf>
    <xf numFmtId="0" fontId="46" fillId="0" borderId="2" xfId="12" applyFont="1" applyBorder="1" applyAlignment="1">
      <alignment horizontal="center" vertical="center" wrapText="1"/>
    </xf>
    <xf numFmtId="4" fontId="45" fillId="0" borderId="2" xfId="12" applyNumberFormat="1" applyFont="1" applyBorder="1" applyAlignment="1">
      <alignment horizontal="left" vertical="center" wrapText="1"/>
    </xf>
    <xf numFmtId="0" fontId="49" fillId="19" borderId="2" xfId="11" applyFont="1" applyFill="1" applyBorder="1" applyAlignment="1">
      <alignment horizontal="right" vertical="center"/>
    </xf>
    <xf numFmtId="0" fontId="35" fillId="0" borderId="0" xfId="0" applyFont="1" applyAlignment="1">
      <alignment horizontal="center"/>
    </xf>
    <xf numFmtId="0" fontId="19" fillId="0" borderId="22" xfId="0" applyFont="1" applyBorder="1" applyAlignment="1">
      <alignment horizontal="left" vertical="center" wrapText="1"/>
    </xf>
    <xf numFmtId="7" fontId="16" fillId="0" borderId="22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top" wrapText="1"/>
    </xf>
    <xf numFmtId="0" fontId="18" fillId="0" borderId="2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7" fillId="0" borderId="2" xfId="2" applyFont="1" applyBorder="1" applyAlignment="1">
      <alignment horizontal="left" vertical="center" wrapText="1"/>
    </xf>
    <xf numFmtId="0" fontId="17" fillId="0" borderId="20" xfId="2" applyFont="1" applyBorder="1" applyAlignment="1">
      <alignment horizontal="left" vertical="center" wrapText="1"/>
    </xf>
    <xf numFmtId="0" fontId="15" fillId="0" borderId="34" xfId="2" applyFont="1" applyBorder="1" applyAlignment="1">
      <alignment horizontal="right" vertical="center"/>
    </xf>
    <xf numFmtId="0" fontId="15" fillId="0" borderId="22" xfId="2" applyFont="1" applyBorder="1" applyAlignment="1">
      <alignment horizontal="right" vertical="center"/>
    </xf>
    <xf numFmtId="0" fontId="15" fillId="0" borderId="37" xfId="2" applyFont="1" applyBorder="1" applyAlignment="1">
      <alignment horizontal="right" vertical="center"/>
    </xf>
    <xf numFmtId="0" fontId="15" fillId="0" borderId="38" xfId="2" applyFont="1" applyBorder="1" applyAlignment="1">
      <alignment horizontal="right" vertical="center"/>
    </xf>
    <xf numFmtId="0" fontId="17" fillId="0" borderId="22" xfId="2" applyFont="1" applyBorder="1" applyAlignment="1">
      <alignment horizontal="left" vertical="center" wrapText="1"/>
    </xf>
    <xf numFmtId="0" fontId="15" fillId="0" borderId="35" xfId="2" applyFont="1" applyBorder="1" applyAlignment="1">
      <alignment horizontal="right" vertical="center"/>
    </xf>
    <xf numFmtId="49" fontId="15" fillId="2" borderId="26" xfId="2" applyNumberFormat="1" applyFont="1" applyFill="1" applyBorder="1" applyAlignment="1">
      <alignment horizontal="center" vertical="center" wrapText="1"/>
    </xf>
    <xf numFmtId="0" fontId="15" fillId="2" borderId="24" xfId="2" applyFont="1" applyFill="1" applyBorder="1" applyAlignment="1">
      <alignment horizontal="center" vertical="center" wrapText="1"/>
    </xf>
    <xf numFmtId="2" fontId="17" fillId="0" borderId="2" xfId="2" applyNumberFormat="1" applyFont="1" applyBorder="1" applyAlignment="1">
      <alignment horizontal="left" vertical="center" wrapText="1"/>
    </xf>
    <xf numFmtId="2" fontId="17" fillId="0" borderId="20" xfId="2" applyNumberFormat="1" applyFont="1" applyBorder="1" applyAlignment="1">
      <alignment horizontal="left" vertical="center" wrapText="1"/>
    </xf>
    <xf numFmtId="0" fontId="17" fillId="0" borderId="20" xfId="2" applyFont="1" applyBorder="1" applyAlignment="1">
      <alignment horizontal="left" vertical="top" wrapText="1"/>
    </xf>
    <xf numFmtId="0" fontId="17" fillId="0" borderId="35" xfId="2" applyFont="1" applyBorder="1" applyAlignment="1">
      <alignment horizontal="left" vertical="top" wrapText="1"/>
    </xf>
    <xf numFmtId="49" fontId="15" fillId="2" borderId="20" xfId="2" applyNumberFormat="1" applyFont="1" applyFill="1" applyBorder="1" applyAlignment="1">
      <alignment horizontal="center" vertical="center" wrapText="1"/>
    </xf>
    <xf numFmtId="0" fontId="15" fillId="2" borderId="22" xfId="2" applyFont="1" applyFill="1" applyBorder="1" applyAlignment="1">
      <alignment horizontal="center" vertical="center" wrapText="1"/>
    </xf>
    <xf numFmtId="2" fontId="17" fillId="0" borderId="22" xfId="2" applyNumberFormat="1" applyFont="1" applyBorder="1" applyAlignment="1">
      <alignment horizontal="left" vertical="center" wrapText="1"/>
    </xf>
    <xf numFmtId="0" fontId="17" fillId="0" borderId="35" xfId="2" applyFont="1" applyBorder="1" applyAlignment="1">
      <alignment horizontal="left" vertical="center"/>
    </xf>
    <xf numFmtId="0" fontId="15" fillId="0" borderId="20" xfId="2" applyFont="1" applyBorder="1" applyAlignment="1">
      <alignment horizontal="right" vertical="center"/>
    </xf>
    <xf numFmtId="49" fontId="17" fillId="0" borderId="20" xfId="2" applyNumberFormat="1" applyFont="1" applyBorder="1" applyAlignment="1">
      <alignment horizontal="left" vertical="center" wrapText="1"/>
    </xf>
    <xf numFmtId="49" fontId="17" fillId="0" borderId="22" xfId="2" applyNumberFormat="1" applyFont="1" applyBorder="1" applyAlignment="1">
      <alignment horizontal="left" vertical="center" wrapText="1"/>
    </xf>
    <xf numFmtId="0" fontId="15" fillId="7" borderId="20" xfId="2" applyFont="1" applyFill="1" applyBorder="1" applyAlignment="1">
      <alignment horizontal="center" vertical="center"/>
    </xf>
    <xf numFmtId="0" fontId="15" fillId="7" borderId="35" xfId="2" applyFont="1" applyFill="1" applyBorder="1" applyAlignment="1">
      <alignment horizontal="center" vertical="center"/>
    </xf>
    <xf numFmtId="0" fontId="16" fillId="6" borderId="28" xfId="2" applyFont="1" applyFill="1" applyBorder="1" applyAlignment="1">
      <alignment horizontal="center" vertical="center" wrapText="1"/>
    </xf>
    <xf numFmtId="0" fontId="16" fillId="6" borderId="27" xfId="2" applyFont="1" applyFill="1" applyBorder="1" applyAlignment="1">
      <alignment horizontal="center" vertical="center" wrapText="1"/>
    </xf>
    <xf numFmtId="0" fontId="16" fillId="6" borderId="36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top" wrapText="1"/>
    </xf>
    <xf numFmtId="0" fontId="15" fillId="3" borderId="5" xfId="2" applyFont="1" applyFill="1" applyBorder="1" applyAlignment="1">
      <alignment horizontal="center" vertical="center"/>
    </xf>
    <xf numFmtId="0" fontId="15" fillId="3" borderId="39" xfId="2" applyFont="1" applyFill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27" fillId="0" borderId="0" xfId="0" applyFont="1" applyAlignment="1">
      <alignment horizontal="left" wrapText="1"/>
    </xf>
    <xf numFmtId="2" fontId="14" fillId="0" borderId="13" xfId="0" applyNumberFormat="1" applyFont="1" applyBorder="1" applyAlignment="1">
      <alignment horizontal="center" vertical="center"/>
    </xf>
    <xf numFmtId="2" fontId="14" fillId="0" borderId="12" xfId="0" applyNumberFormat="1" applyFont="1" applyBorder="1" applyAlignment="1">
      <alignment horizontal="center" vertical="center"/>
    </xf>
    <xf numFmtId="2" fontId="14" fillId="0" borderId="2" xfId="1" applyNumberFormat="1" applyFont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14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2" fontId="14" fillId="0" borderId="13" xfId="1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1" fillId="0" borderId="0" xfId="0" applyFont="1" applyAlignment="1">
      <alignment horizontal="right" vertical="top"/>
    </xf>
    <xf numFmtId="0" fontId="21" fillId="0" borderId="24" xfId="0" applyFont="1" applyBorder="1" applyAlignment="1">
      <alignment horizontal="right" vertical="top"/>
    </xf>
    <xf numFmtId="0" fontId="2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2" fontId="14" fillId="0" borderId="7" xfId="0" applyNumberFormat="1" applyFont="1" applyBorder="1" applyAlignment="1">
      <alignment horizontal="center" vertical="center"/>
    </xf>
    <xf numFmtId="2" fontId="14" fillId="0" borderId="7" xfId="1" applyNumberFormat="1" applyFont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40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41" xfId="0" applyFont="1" applyBorder="1" applyAlignment="1">
      <alignment horizontal="left" vertical="center" wrapText="1"/>
    </xf>
    <xf numFmtId="0" fontId="27" fillId="0" borderId="42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2" fontId="27" fillId="0" borderId="23" xfId="0" applyNumberFormat="1" applyFont="1" applyBorder="1" applyAlignment="1">
      <alignment horizontal="right" vertical="center"/>
    </xf>
    <xf numFmtId="2" fontId="27" fillId="0" borderId="0" xfId="0" applyNumberFormat="1" applyFont="1" applyAlignment="1">
      <alignment horizontal="right" vertical="center"/>
    </xf>
    <xf numFmtId="0" fontId="27" fillId="0" borderId="4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2" fontId="27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2" fontId="30" fillId="0" borderId="2" xfId="0" applyNumberFormat="1" applyFont="1" applyBorder="1" applyAlignment="1">
      <alignment horizontal="center" vertical="center"/>
    </xf>
    <xf numFmtId="2" fontId="30" fillId="0" borderId="20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left" vertical="center" wrapText="1"/>
    </xf>
    <xf numFmtId="2" fontId="31" fillId="0" borderId="2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31" fillId="0" borderId="2" xfId="0" applyFont="1" applyBorder="1" applyAlignment="1">
      <alignment horizontal="center" vertical="center"/>
    </xf>
    <xf numFmtId="2" fontId="30" fillId="0" borderId="40" xfId="0" applyNumberFormat="1" applyFont="1" applyBorder="1" applyAlignment="1">
      <alignment horizontal="left" vertical="center" wrapText="1"/>
    </xf>
    <xf numFmtId="2" fontId="30" fillId="0" borderId="23" xfId="0" applyNumberFormat="1" applyFont="1" applyBorder="1" applyAlignment="1">
      <alignment horizontal="left" vertical="center" wrapText="1"/>
    </xf>
    <xf numFmtId="2" fontId="30" fillId="0" borderId="41" xfId="0" applyNumberFormat="1" applyFont="1" applyBorder="1" applyAlignment="1">
      <alignment horizontal="left" vertical="center" wrapText="1"/>
    </xf>
    <xf numFmtId="2" fontId="30" fillId="0" borderId="26" xfId="0" applyNumberFormat="1" applyFont="1" applyBorder="1" applyAlignment="1">
      <alignment horizontal="left" vertical="center" wrapText="1"/>
    </xf>
    <xf numFmtId="2" fontId="30" fillId="0" borderId="24" xfId="0" applyNumberFormat="1" applyFont="1" applyBorder="1" applyAlignment="1">
      <alignment horizontal="left" vertical="center" wrapText="1"/>
    </xf>
    <xf numFmtId="2" fontId="30" fillId="0" borderId="25" xfId="0" applyNumberFormat="1" applyFont="1" applyBorder="1" applyAlignment="1">
      <alignment horizontal="left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2" fontId="0" fillId="0" borderId="13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0" fillId="0" borderId="42" xfId="0" applyBorder="1" applyAlignment="1">
      <alignment horizontal="center"/>
    </xf>
    <xf numFmtId="0" fontId="21" fillId="0" borderId="0" xfId="0" applyFont="1" applyAlignment="1">
      <alignment horizontal="right" vertical="center"/>
    </xf>
    <xf numFmtId="0" fontId="32" fillId="0" borderId="0" xfId="0" applyFont="1" applyAlignment="1">
      <alignment horizontal="center"/>
    </xf>
    <xf numFmtId="0" fontId="23" fillId="0" borderId="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2" fontId="24" fillId="0" borderId="44" xfId="0" applyNumberFormat="1" applyFont="1" applyBorder="1" applyAlignment="1">
      <alignment horizontal="center" vertical="center"/>
    </xf>
    <xf numFmtId="2" fontId="24" fillId="0" borderId="33" xfId="0" applyNumberFormat="1" applyFont="1" applyBorder="1" applyAlignment="1">
      <alignment horizontal="center" vertical="center"/>
    </xf>
  </cellXfs>
  <cellStyles count="277">
    <cellStyle name="Dziesiętny" xfId="10" builtinId="3"/>
    <cellStyle name="Dziesiętny 10" xfId="102"/>
    <cellStyle name="Dziesiętny 2" xfId="1"/>
    <cellStyle name="Dziesiętny 2 2" xfId="3"/>
    <cellStyle name="Dziesiętny 2 3" xfId="103"/>
    <cellStyle name="Dziesiętny 2 3 2" xfId="267"/>
    <cellStyle name="Dziesiętny 2 4" xfId="259"/>
    <cellStyle name="Dziesiętny 3" xfId="4"/>
    <cellStyle name="Dziesiętny 3 10" xfId="29"/>
    <cellStyle name="Dziesiętny 3 2" xfId="18"/>
    <cellStyle name="Dziesiętny 3 2 2" xfId="38"/>
    <cellStyle name="Dziesiętny 3 2 2 2" xfId="57"/>
    <cellStyle name="Dziesiętny 3 2 2 2 2" xfId="132"/>
    <cellStyle name="Dziesiętny 3 2 2 2 3" xfId="200"/>
    <cellStyle name="Dziesiętny 3 2 2 3" xfId="73"/>
    <cellStyle name="Dziesiętny 3 2 2 3 2" xfId="148"/>
    <cellStyle name="Dziesiętny 3 2 2 3 3" xfId="216"/>
    <cellStyle name="Dziesiętny 3 2 2 4" xfId="116"/>
    <cellStyle name="Dziesiętny 3 2 2 5" xfId="184"/>
    <cellStyle name="Dziesiętny 3 2 3" xfId="51"/>
    <cellStyle name="Dziesiętny 3 2 3 2" xfId="126"/>
    <cellStyle name="Dziesiętny 3 2 3 3" xfId="194"/>
    <cellStyle name="Dziesiętny 3 2 4" xfId="67"/>
    <cellStyle name="Dziesiętny 3 2 4 2" xfId="142"/>
    <cellStyle name="Dziesiętny 3 2 4 3" xfId="210"/>
    <cellStyle name="Dziesiętny 3 2 5" xfId="110"/>
    <cellStyle name="Dziesiętny 3 2 6" xfId="178"/>
    <cellStyle name="Dziesiętny 3 2 7" xfId="32"/>
    <cellStyle name="Dziesiętny 3 3" xfId="35"/>
    <cellStyle name="Dziesiętny 3 3 2" xfId="54"/>
    <cellStyle name="Dziesiętny 3 3 2 2" xfId="129"/>
    <cellStyle name="Dziesiętny 3 3 2 3" xfId="197"/>
    <cellStyle name="Dziesiętny 3 3 3" xfId="70"/>
    <cellStyle name="Dziesiętny 3 3 3 2" xfId="145"/>
    <cellStyle name="Dziesiętny 3 3 3 3" xfId="213"/>
    <cellStyle name="Dziesiętny 3 3 4" xfId="113"/>
    <cellStyle name="Dziesiętny 3 3 5" xfId="181"/>
    <cellStyle name="Dziesiętny 3 4" xfId="41"/>
    <cellStyle name="Dziesiętny 3 4 2" xfId="255"/>
    <cellStyle name="Dziesiętny 3 4 3" xfId="271"/>
    <cellStyle name="Dziesiętny 3 4 4" xfId="243"/>
    <cellStyle name="Dziesiętny 3 5" xfId="48"/>
    <cellStyle name="Dziesiętny 3 5 2" xfId="123"/>
    <cellStyle name="Dziesiętny 3 5 3" xfId="191"/>
    <cellStyle name="Dziesiętny 3 6" xfId="64"/>
    <cellStyle name="Dziesiętny 3 6 2" xfId="139"/>
    <cellStyle name="Dziesiętny 3 6 3" xfId="207"/>
    <cellStyle name="Dziesiętny 3 7" xfId="87"/>
    <cellStyle name="Dziesiętny 3 7 2" xfId="161"/>
    <cellStyle name="Dziesiętny 3 7 3" xfId="229"/>
    <cellStyle name="Dziesiętny 3 8" xfId="107"/>
    <cellStyle name="Dziesiętny 3 9" xfId="175"/>
    <cellStyle name="Dziesiętny 4" xfId="13"/>
    <cellStyle name="Dziesiętny 4 2" xfId="59"/>
    <cellStyle name="Dziesiętny 4 2 2" xfId="134"/>
    <cellStyle name="Dziesiętny 4 2 2 2" xfId="249"/>
    <cellStyle name="Dziesiętny 4 2 3" xfId="202"/>
    <cellStyle name="Dziesiętny 4 3" xfId="75"/>
    <cellStyle name="Dziesiętny 4 3 2" xfId="150"/>
    <cellStyle name="Dziesiętny 4 3 3" xfId="218"/>
    <cellStyle name="Dziesiętny 4 4" xfId="118"/>
    <cellStyle name="Dziesiętny 4 4 2" xfId="263"/>
    <cellStyle name="Dziesiętny 4 5" xfId="186"/>
    <cellStyle name="Dziesiętny 4 6" xfId="43"/>
    <cellStyle name="Dziesiętny 5" xfId="45"/>
    <cellStyle name="Dziesiętny 5 2" xfId="61"/>
    <cellStyle name="Dziesiętny 5 2 2" xfId="136"/>
    <cellStyle name="Dziesiętny 5 2 2 2" xfId="275"/>
    <cellStyle name="Dziesiętny 5 2 3" xfId="204"/>
    <cellStyle name="Dziesiętny 5 3" xfId="77"/>
    <cellStyle name="Dziesiętny 5 3 2" xfId="152"/>
    <cellStyle name="Dziesiętny 5 3 3" xfId="220"/>
    <cellStyle name="Dziesiętny 5 4" xfId="120"/>
    <cellStyle name="Dziesiętny 5 5" xfId="188"/>
    <cellStyle name="Dziesiętny 6" xfId="79"/>
    <cellStyle name="Dziesiętny 6 2" xfId="154"/>
    <cellStyle name="Dziesiętny 6 3" xfId="222"/>
    <cellStyle name="Dziesiętny 6 4" xfId="258"/>
    <cellStyle name="Dziesiętny 7" xfId="81"/>
    <cellStyle name="Dziesiętny 7 2" xfId="156"/>
    <cellStyle name="Dziesiętny 7 3" xfId="224"/>
    <cellStyle name="Dziesiętny 8" xfId="83"/>
    <cellStyle name="Dziesiętny 8 2" xfId="158"/>
    <cellStyle name="Dziesiętny 8 3" xfId="226"/>
    <cellStyle name="Dziesiętny 9" xfId="86"/>
    <cellStyle name="Dziesiętny 9 2" xfId="160"/>
    <cellStyle name="Dziesiętny 9 3" xfId="228"/>
    <cellStyle name="Normalny" xfId="0" builtinId="0"/>
    <cellStyle name="Normalny 10" xfId="80"/>
    <cellStyle name="Normalny 10 2" xfId="155"/>
    <cellStyle name="Normalny 10 3" xfId="223"/>
    <cellStyle name="Normalny 11" xfId="82"/>
    <cellStyle name="Normalny 11 2" xfId="157"/>
    <cellStyle name="Normalny 11 3" xfId="225"/>
    <cellStyle name="Normalny 12" xfId="85"/>
    <cellStyle name="Normalny 12 2" xfId="159"/>
    <cellStyle name="Normalny 12 3" xfId="227"/>
    <cellStyle name="Normalny 13" xfId="101"/>
    <cellStyle name="Normalny 2" xfId="5"/>
    <cellStyle name="Normalny 2 2" xfId="20"/>
    <cellStyle name="Normalny 2 2 2" xfId="84"/>
    <cellStyle name="Normalny 2 2 3" xfId="88"/>
    <cellStyle name="Normalny 2 2 4" xfId="40"/>
    <cellStyle name="Normalny 2 3" xfId="19"/>
    <cellStyle name="Normalny 3" xfId="6"/>
    <cellStyle name="Normalny 3 10" xfId="173"/>
    <cellStyle name="Normalny 3 10 2" xfId="266"/>
    <cellStyle name="Normalny 3 11" xfId="27"/>
    <cellStyle name="Normalny 3 2" xfId="16"/>
    <cellStyle name="Normalny 3 2 2" xfId="25"/>
    <cellStyle name="Normalny 3 2 2 2" xfId="55"/>
    <cellStyle name="Normalny 3 2 2 2 2" xfId="92"/>
    <cellStyle name="Normalny 3 2 2 2 2 2" xfId="165"/>
    <cellStyle name="Normalny 3 2 2 2 2 3" xfId="233"/>
    <cellStyle name="Normalny 3 2 2 2 3" xfId="130"/>
    <cellStyle name="Normalny 3 2 2 2 3 2" xfId="268"/>
    <cellStyle name="Normalny 3 2 2 2 4" xfId="198"/>
    <cellStyle name="Normalny 3 2 2 3" xfId="71"/>
    <cellStyle name="Normalny 3 2 2 3 2" xfId="146"/>
    <cellStyle name="Normalny 3 2 2 3 2 2" xfId="272"/>
    <cellStyle name="Normalny 3 2 2 3 3" xfId="214"/>
    <cellStyle name="Normalny 3 2 2 4" xfId="91"/>
    <cellStyle name="Normalny 3 2 2 4 2" xfId="164"/>
    <cellStyle name="Normalny 3 2 2 4 3" xfId="232"/>
    <cellStyle name="Normalny 3 2 2 5" xfId="114"/>
    <cellStyle name="Normalny 3 2 2 6" xfId="182"/>
    <cellStyle name="Normalny 3 2 2 7" xfId="36"/>
    <cellStyle name="Normalny 3 2 3" xfId="23"/>
    <cellStyle name="Normalny 3 2 3 2" xfId="93"/>
    <cellStyle name="Normalny 3 2 3 2 2" xfId="166"/>
    <cellStyle name="Normalny 3 2 3 2 2 2" xfId="252"/>
    <cellStyle name="Normalny 3 2 3 2 3" xfId="234"/>
    <cellStyle name="Normalny 3 2 3 3" xfId="124"/>
    <cellStyle name="Normalny 3 2 3 3 2" xfId="245"/>
    <cellStyle name="Normalny 3 2 3 4" xfId="192"/>
    <cellStyle name="Normalny 3 2 3 5" xfId="49"/>
    <cellStyle name="Normalny 3 2 4" xfId="65"/>
    <cellStyle name="Normalny 3 2 4 2" xfId="140"/>
    <cellStyle name="Normalny 3 2 4 2 2" xfId="250"/>
    <cellStyle name="Normalny 3 2 4 3" xfId="208"/>
    <cellStyle name="Normalny 3 2 5" xfId="90"/>
    <cellStyle name="Normalny 3 2 5 2" xfId="163"/>
    <cellStyle name="Normalny 3 2 5 3" xfId="231"/>
    <cellStyle name="Normalny 3 2 6" xfId="108"/>
    <cellStyle name="Normalny 3 2 6 2" xfId="264"/>
    <cellStyle name="Normalny 3 2 7" xfId="176"/>
    <cellStyle name="Normalny 3 2 8" xfId="30"/>
    <cellStyle name="Normalny 3 3" xfId="21"/>
    <cellStyle name="Normalny 3 3 2" xfId="24"/>
    <cellStyle name="Normalny 3 3 2 2" xfId="95"/>
    <cellStyle name="Normalny 3 3 2 2 2" xfId="168"/>
    <cellStyle name="Normalny 3 3 2 2 2 2" xfId="253"/>
    <cellStyle name="Normalny 3 3 2 2 3" xfId="236"/>
    <cellStyle name="Normalny 3 3 2 3" xfId="127"/>
    <cellStyle name="Normalny 3 3 2 3 2" xfId="246"/>
    <cellStyle name="Normalny 3 3 2 4" xfId="195"/>
    <cellStyle name="Normalny 3 3 2 5" xfId="52"/>
    <cellStyle name="Normalny 3 3 3" xfId="68"/>
    <cellStyle name="Normalny 3 3 3 2" xfId="143"/>
    <cellStyle name="Normalny 3 3 3 3" xfId="211"/>
    <cellStyle name="Normalny 3 3 3 4" xfId="270"/>
    <cellStyle name="Normalny 3 3 4" xfId="94"/>
    <cellStyle name="Normalny 3 3 4 2" xfId="167"/>
    <cellStyle name="Normalny 3 3 4 3" xfId="235"/>
    <cellStyle name="Normalny 3 3 5" xfId="111"/>
    <cellStyle name="Normalny 3 3 6" xfId="179"/>
    <cellStyle name="Normalny 3 3 7" xfId="242"/>
    <cellStyle name="Normalny 3 3 8" xfId="33"/>
    <cellStyle name="Normalny 3 4" xfId="26"/>
    <cellStyle name="Normalny 3 4 2" xfId="97"/>
    <cellStyle name="Normalny 3 4 2 2" xfId="170"/>
    <cellStyle name="Normalny 3 4 2 2 2" xfId="254"/>
    <cellStyle name="Normalny 3 4 2 3" xfId="238"/>
    <cellStyle name="Normalny 3 4 3" xfId="96"/>
    <cellStyle name="Normalny 3 4 3 2" xfId="169"/>
    <cellStyle name="Normalny 3 4 3 2 2" xfId="273"/>
    <cellStyle name="Normalny 3 4 3 3" xfId="237"/>
    <cellStyle name="Normalny 3 4 4" xfId="265"/>
    <cellStyle name="Normalny 3 4 5" xfId="39"/>
    <cellStyle name="Normalny 3 5" xfId="22"/>
    <cellStyle name="Normalny 3 5 2" xfId="98"/>
    <cellStyle name="Normalny 3 5 2 2" xfId="171"/>
    <cellStyle name="Normalny 3 5 2 2 2" xfId="251"/>
    <cellStyle name="Normalny 3 5 2 3" xfId="239"/>
    <cellStyle name="Normalny 3 5 3" xfId="121"/>
    <cellStyle name="Normalny 3 5 3 2" xfId="244"/>
    <cellStyle name="Normalny 3 5 4" xfId="189"/>
    <cellStyle name="Normalny 3 5 5" xfId="46"/>
    <cellStyle name="Normalny 3 6" xfId="62"/>
    <cellStyle name="Normalny 3 6 2" xfId="137"/>
    <cellStyle name="Normalny 3 6 2 2" xfId="276"/>
    <cellStyle name="Normalny 3 6 2 3" xfId="247"/>
    <cellStyle name="Normalny 3 6 3" xfId="205"/>
    <cellStyle name="Normalny 3 7" xfId="89"/>
    <cellStyle name="Normalny 3 7 2" xfId="162"/>
    <cellStyle name="Normalny 3 7 2 2" xfId="256"/>
    <cellStyle name="Normalny 3 7 3" xfId="230"/>
    <cellStyle name="Normalny 3 8" xfId="104"/>
    <cellStyle name="Normalny 3 8 2" xfId="241"/>
    <cellStyle name="Normalny 3 9" xfId="105"/>
    <cellStyle name="Normalny 3 9 2" xfId="261"/>
    <cellStyle name="Normalny 4" xfId="7"/>
    <cellStyle name="Normalny 4 2" xfId="17"/>
    <cellStyle name="Normalny 4 2 2" xfId="37"/>
    <cellStyle name="Normalny 4 2 2 2" xfId="56"/>
    <cellStyle name="Normalny 4 2 2 2 2" xfId="131"/>
    <cellStyle name="Normalny 4 2 2 2 3" xfId="199"/>
    <cellStyle name="Normalny 4 2 2 3" xfId="72"/>
    <cellStyle name="Normalny 4 2 2 3 2" xfId="147"/>
    <cellStyle name="Normalny 4 2 2 3 3" xfId="215"/>
    <cellStyle name="Normalny 4 2 2 4" xfId="115"/>
    <cellStyle name="Normalny 4 2 2 5" xfId="183"/>
    <cellStyle name="Normalny 4 2 3" xfId="50"/>
    <cellStyle name="Normalny 4 2 3 2" xfId="125"/>
    <cellStyle name="Normalny 4 2 3 3" xfId="193"/>
    <cellStyle name="Normalny 4 2 4" xfId="66"/>
    <cellStyle name="Normalny 4 2 4 2" xfId="141"/>
    <cellStyle name="Normalny 4 2 4 3" xfId="209"/>
    <cellStyle name="Normalny 4 2 5" xfId="109"/>
    <cellStyle name="Normalny 4 2 6" xfId="177"/>
    <cellStyle name="Normalny 4 2 7" xfId="31"/>
    <cellStyle name="Normalny 4 3" xfId="34"/>
    <cellStyle name="Normalny 4 3 2" xfId="53"/>
    <cellStyle name="Normalny 4 3 2 2" xfId="128"/>
    <cellStyle name="Normalny 4 3 2 3" xfId="196"/>
    <cellStyle name="Normalny 4 3 3" xfId="69"/>
    <cellStyle name="Normalny 4 3 3 2" xfId="144"/>
    <cellStyle name="Normalny 4 3 3 3" xfId="212"/>
    <cellStyle name="Normalny 4 3 4" xfId="112"/>
    <cellStyle name="Normalny 4 3 5" xfId="180"/>
    <cellStyle name="Normalny 4 4" xfId="47"/>
    <cellStyle name="Normalny 4 4 2" xfId="122"/>
    <cellStyle name="Normalny 4 4 2 2" xfId="257"/>
    <cellStyle name="Normalny 4 4 3" xfId="190"/>
    <cellStyle name="Normalny 4 5" xfId="63"/>
    <cellStyle name="Normalny 4 5 2" xfId="138"/>
    <cellStyle name="Normalny 4 5 3" xfId="206"/>
    <cellStyle name="Normalny 4 6" xfId="99"/>
    <cellStyle name="Normalny 4 6 2" xfId="172"/>
    <cellStyle name="Normalny 4 6 3" xfId="240"/>
    <cellStyle name="Normalny 4 7" xfId="106"/>
    <cellStyle name="Normalny 4 8" xfId="174"/>
    <cellStyle name="Normalny 4 9" xfId="28"/>
    <cellStyle name="Normalny 5" xfId="8"/>
    <cellStyle name="Normalny 6" xfId="9"/>
    <cellStyle name="Normalny 7" xfId="11"/>
    <cellStyle name="Normalny 7 2" xfId="58"/>
    <cellStyle name="Normalny 7 2 2" xfId="133"/>
    <cellStyle name="Normalny 7 2 2 2" xfId="248"/>
    <cellStyle name="Normalny 7 2 3" xfId="201"/>
    <cellStyle name="Normalny 7 3" xfId="74"/>
    <cellStyle name="Normalny 7 3 2" xfId="149"/>
    <cellStyle name="Normalny 7 3 3" xfId="217"/>
    <cellStyle name="Normalny 7 4" xfId="117"/>
    <cellStyle name="Normalny 7 4 2" xfId="262"/>
    <cellStyle name="Normalny 7 5" xfId="185"/>
    <cellStyle name="Normalny 7 6" xfId="42"/>
    <cellStyle name="Normalny 8" xfId="44"/>
    <cellStyle name="Normalny 8 2" xfId="60"/>
    <cellStyle name="Normalny 8 2 2" xfId="135"/>
    <cellStyle name="Normalny 8 2 2 2" xfId="274"/>
    <cellStyle name="Normalny 8 2 3" xfId="203"/>
    <cellStyle name="Normalny 8 3" xfId="76"/>
    <cellStyle name="Normalny 8 3 2" xfId="151"/>
    <cellStyle name="Normalny 8 3 3" xfId="219"/>
    <cellStyle name="Normalny 8 4" xfId="119"/>
    <cellStyle name="Normalny 8 5" xfId="187"/>
    <cellStyle name="Normalny 9" xfId="78"/>
    <cellStyle name="Normalny 9 2" xfId="153"/>
    <cellStyle name="Normalny 9 3" xfId="221"/>
    <cellStyle name="Normalny 9 4" xfId="260"/>
    <cellStyle name="Normalny_Arkusz1" xfId="2"/>
    <cellStyle name="Normalny_Tabela zbiorcza cz.1 (0030-0035)" xfId="12"/>
    <cellStyle name="Normalny_Wzór tabeli" xfId="14"/>
    <cellStyle name="Normalny_Wzór tabeli 2" xfId="15"/>
    <cellStyle name="Procentowy 2" xfId="269"/>
    <cellStyle name="TerespolD" xfId="10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56648</xdr:colOff>
      <xdr:row>25</xdr:row>
      <xdr:rowOff>59835</xdr:rowOff>
    </xdr:from>
    <xdr:to>
      <xdr:col>8</xdr:col>
      <xdr:colOff>677585</xdr:colOff>
      <xdr:row>26</xdr:row>
      <xdr:rowOff>204727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2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" t="4212" r="3287" b="4360"/>
        <a:stretch/>
      </xdr:blipFill>
      <xdr:spPr bwMode="auto">
        <a:xfrm rot="605261">
          <a:off x="4729290" y="8459807"/>
          <a:ext cx="620937" cy="4108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504825</xdr:colOff>
      <xdr:row>16</xdr:row>
      <xdr:rowOff>66675</xdr:rowOff>
    </xdr:from>
    <xdr:to>
      <xdr:col>9</xdr:col>
      <xdr:colOff>142875</xdr:colOff>
      <xdr:row>19</xdr:row>
      <xdr:rowOff>114300</xdr:rowOff>
    </xdr:to>
    <xdr:pic>
      <xdr:nvPicPr>
        <xdr:cNvPr id="3" name="Obraz 75" descr="110px-POL_Ropczyce_COA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6791325"/>
          <a:ext cx="9810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Tematy%20aktualne\2018\184%20Skorodeckiego\Skorodeckiego_09_2019_PR_KI_K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kty%202012r\14_Kosztorys%20chodnik%20Brzezowka\1_KI_KO_PR_Brzezow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rojekty%202014r\21_Budowa%20chodnika%20Czarna_Nadlesnictwo\3_PW\KI\ver_2\KI_PR_01_01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na tyt KI"/>
      <sheetName val="KI_1"/>
      <sheetName val="KI_2"/>
      <sheetName val="KI_3"/>
      <sheetName val="strona tyt PR KO"/>
      <sheetName val="KO_1"/>
      <sheetName val="KO2"/>
      <sheetName val="KO3"/>
      <sheetName val="PR_1"/>
      <sheetName val="PR_2"/>
      <sheetName val="ZAŁ_1"/>
      <sheetName val="1.1. Zjazdy indywidualne"/>
      <sheetName val="1.2. Zjazdy indywidualne "/>
      <sheetName val="2. Roboty rozbiórkowe "/>
      <sheetName val="3. Odwodnienie korpusu"/>
      <sheetName val="4. Wyk. umoc. 5.Prof rowu"/>
      <sheetName val="6. El. drogowe (pref)"/>
      <sheetName val="7. Naw. 8. k.ch"/>
      <sheetName val="9. Oznakowanie pionowe"/>
      <sheetName val="10. BRD 11. zieleń"/>
      <sheetName val="12_1. Tab. robót ziemnych"/>
      <sheetName val="12_2. Tab. robót ziemnych"/>
      <sheetName val="Arkusz1"/>
      <sheetName val="10. Oznakowanie pionow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48">
          <cell r="F248">
            <v>102.5</v>
          </cell>
        </row>
      </sheetData>
      <sheetData sheetId="10"/>
      <sheetData sheetId="11">
        <row r="12">
          <cell r="O12">
            <v>13</v>
          </cell>
          <cell r="V12">
            <v>138.9</v>
          </cell>
        </row>
      </sheetData>
      <sheetData sheetId="12"/>
      <sheetData sheetId="13">
        <row r="13">
          <cell r="E13">
            <v>527.28</v>
          </cell>
        </row>
        <row r="19">
          <cell r="E19">
            <v>106.5</v>
          </cell>
        </row>
      </sheetData>
      <sheetData sheetId="14">
        <row r="30">
          <cell r="E30">
            <v>0</v>
          </cell>
        </row>
      </sheetData>
      <sheetData sheetId="15">
        <row r="6">
          <cell r="E6">
            <v>984.5</v>
          </cell>
        </row>
      </sheetData>
      <sheetData sheetId="16">
        <row r="18">
          <cell r="E18">
            <v>4049</v>
          </cell>
        </row>
      </sheetData>
      <sheetData sheetId="17">
        <row r="12">
          <cell r="E12">
            <v>7188.8</v>
          </cell>
        </row>
      </sheetData>
      <sheetData sheetId="18"/>
      <sheetData sheetId="19">
        <row r="738">
          <cell r="J738">
            <v>125</v>
          </cell>
        </row>
      </sheetData>
      <sheetData sheetId="20">
        <row r="50">
          <cell r="E50">
            <v>142</v>
          </cell>
        </row>
      </sheetData>
      <sheetData sheetId="21"/>
      <sheetData sheetId="22"/>
      <sheetData sheetId="23">
        <row r="350">
          <cell r="P350">
            <v>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"/>
      <sheetName val="Przedmiar"/>
      <sheetName val="ofertowy"/>
      <sheetName val="KO1"/>
      <sheetName val="KO2"/>
      <sheetName val="KO3"/>
      <sheetName val="KI1"/>
      <sheetName val="KI2"/>
      <sheetName val="KI3"/>
      <sheetName val="KI4"/>
      <sheetName val="PR1"/>
      <sheetName val="PR2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1"/>
      <sheetName val="KO2"/>
      <sheetName val="KO3"/>
      <sheetName val="KI1"/>
      <sheetName val="KI2"/>
      <sheetName val="KI3"/>
      <sheetName val="KI4"/>
      <sheetName val="PR1"/>
      <sheetName val="PR2"/>
      <sheetName val="ZAŁACZNIKI"/>
      <sheetName val="Arkusz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230">
          <cell r="I230">
            <v>292152.32000000001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/>
  </sheetViews>
  <sheetFormatPr defaultRowHeight="12.75" x14ac:dyDescent="0.2"/>
  <cols>
    <col min="1" max="1" width="4.7109375" customWidth="1"/>
    <col min="3" max="3" width="10.42578125" customWidth="1"/>
    <col min="9" max="9" width="11" customWidth="1"/>
    <col min="10" max="10" width="6.42578125" customWidth="1"/>
  </cols>
  <sheetData>
    <row r="1" spans="1:10" ht="44.25" customHeight="1" x14ac:dyDescent="0.2">
      <c r="A1" s="114"/>
      <c r="B1" s="295" t="s">
        <v>172</v>
      </c>
      <c r="C1" s="295"/>
      <c r="D1" s="296" t="s">
        <v>173</v>
      </c>
      <c r="E1" s="296"/>
      <c r="F1" s="296"/>
      <c r="G1" s="296"/>
      <c r="H1" s="296"/>
      <c r="I1" s="296"/>
      <c r="J1" s="297"/>
    </row>
    <row r="2" spans="1:10" ht="21" customHeight="1" x14ac:dyDescent="0.2">
      <c r="A2" s="108"/>
      <c r="B2" s="282"/>
      <c r="C2" s="282"/>
      <c r="D2" s="298"/>
      <c r="E2" s="298"/>
      <c r="F2" s="298"/>
      <c r="G2" s="298"/>
      <c r="H2" s="298"/>
      <c r="I2" s="298"/>
      <c r="J2" s="299"/>
    </row>
    <row r="3" spans="1:10" ht="12.75" hidden="1" customHeight="1" x14ac:dyDescent="0.2">
      <c r="A3" s="108"/>
      <c r="B3" s="282"/>
      <c r="C3" s="282"/>
      <c r="D3" s="298"/>
      <c r="E3" s="298"/>
      <c r="F3" s="298"/>
      <c r="G3" s="298"/>
      <c r="H3" s="298"/>
      <c r="I3" s="298"/>
      <c r="J3" s="299"/>
    </row>
    <row r="4" spans="1:10" ht="84.75" customHeight="1" x14ac:dyDescent="0.2">
      <c r="A4" s="108"/>
      <c r="B4" s="282" t="s">
        <v>171</v>
      </c>
      <c r="C4" s="282"/>
      <c r="D4" s="300" t="s">
        <v>174</v>
      </c>
      <c r="E4" s="300"/>
      <c r="F4" s="300"/>
      <c r="G4" s="300"/>
      <c r="H4" s="300"/>
      <c r="I4" s="300"/>
      <c r="J4" s="301"/>
    </row>
    <row r="5" spans="1:10" ht="77.25" customHeight="1" x14ac:dyDescent="0.2">
      <c r="A5" s="108"/>
      <c r="B5" s="282"/>
      <c r="C5" s="282"/>
      <c r="D5" s="300"/>
      <c r="E5" s="300"/>
      <c r="F5" s="300"/>
      <c r="G5" s="300"/>
      <c r="H5" s="300"/>
      <c r="I5" s="300"/>
      <c r="J5" s="301"/>
    </row>
    <row r="6" spans="1:10" ht="38.25" customHeight="1" x14ac:dyDescent="0.2">
      <c r="A6" s="108"/>
      <c r="B6" s="282" t="s">
        <v>170</v>
      </c>
      <c r="C6" s="282"/>
      <c r="D6" s="300" t="s">
        <v>181</v>
      </c>
      <c r="E6" s="300"/>
      <c r="F6" s="300"/>
      <c r="G6" s="300"/>
      <c r="H6" s="300"/>
      <c r="I6" s="300"/>
      <c r="J6" s="301"/>
    </row>
    <row r="7" spans="1:10" ht="33" customHeight="1" x14ac:dyDescent="0.2">
      <c r="A7" s="108"/>
      <c r="B7" s="282" t="s">
        <v>169</v>
      </c>
      <c r="C7" s="282"/>
      <c r="D7" s="300"/>
      <c r="E7" s="300"/>
      <c r="F7" s="300"/>
      <c r="G7" s="300"/>
      <c r="H7" s="300"/>
      <c r="I7" s="300"/>
      <c r="J7" s="301"/>
    </row>
    <row r="8" spans="1:10" ht="60.75" customHeight="1" x14ac:dyDescent="0.2">
      <c r="A8" s="108"/>
      <c r="B8" s="282"/>
      <c r="C8" s="282"/>
      <c r="D8" s="300" t="s">
        <v>175</v>
      </c>
      <c r="E8" s="300"/>
      <c r="F8" s="300"/>
      <c r="G8" s="300"/>
      <c r="H8" s="300"/>
      <c r="I8" s="300"/>
      <c r="J8" s="301"/>
    </row>
    <row r="9" spans="1:10" ht="15" customHeight="1" x14ac:dyDescent="0.2">
      <c r="A9" s="108"/>
      <c r="B9" s="282"/>
      <c r="C9" s="282"/>
      <c r="D9" s="300" t="s">
        <v>176</v>
      </c>
      <c r="E9" s="300"/>
      <c r="F9" s="300"/>
      <c r="G9" s="300"/>
      <c r="H9" s="300"/>
      <c r="I9" s="300"/>
      <c r="J9" s="107"/>
    </row>
    <row r="10" spans="1:10" ht="30" customHeight="1" x14ac:dyDescent="0.2">
      <c r="A10" s="108"/>
      <c r="B10" s="282"/>
      <c r="C10" s="282"/>
      <c r="D10" s="302" t="s">
        <v>168</v>
      </c>
      <c r="E10" s="302"/>
      <c r="F10" s="302"/>
      <c r="G10" s="302"/>
      <c r="H10" s="302"/>
      <c r="J10" s="107"/>
    </row>
    <row r="11" spans="1:10" ht="15" customHeight="1" x14ac:dyDescent="0.2">
      <c r="A11" s="108"/>
      <c r="B11" s="282"/>
      <c r="C11" s="282"/>
      <c r="D11" s="113" t="s">
        <v>167</v>
      </c>
      <c r="E11" s="113"/>
      <c r="F11" s="113"/>
      <c r="J11" s="107"/>
    </row>
    <row r="12" spans="1:10" ht="15" x14ac:dyDescent="0.2">
      <c r="A12" s="108"/>
      <c r="B12" s="282"/>
      <c r="C12" s="282"/>
      <c r="D12" s="303"/>
      <c r="E12" s="303"/>
      <c r="F12" s="303"/>
      <c r="J12" s="107"/>
    </row>
    <row r="13" spans="1:10" hidden="1" x14ac:dyDescent="0.2">
      <c r="A13" s="108"/>
      <c r="B13" s="282" t="s">
        <v>166</v>
      </c>
      <c r="C13" s="282"/>
      <c r="D13" s="293">
        <v>911</v>
      </c>
      <c r="E13" s="293"/>
      <c r="F13" s="293"/>
      <c r="J13" s="107"/>
    </row>
    <row r="14" spans="1:10" hidden="1" x14ac:dyDescent="0.2">
      <c r="A14" s="108"/>
      <c r="B14" s="282"/>
      <c r="C14" s="282"/>
      <c r="D14" s="293"/>
      <c r="E14" s="293"/>
      <c r="F14" s="293"/>
      <c r="J14" s="107"/>
    </row>
    <row r="15" spans="1:10" hidden="1" x14ac:dyDescent="0.2">
      <c r="A15" s="108"/>
      <c r="B15" s="282"/>
      <c r="C15" s="282"/>
      <c r="D15" s="293"/>
      <c r="E15" s="293"/>
      <c r="F15" s="293"/>
      <c r="J15" s="107"/>
    </row>
    <row r="16" spans="1:10" ht="46.5" customHeight="1" x14ac:dyDescent="0.2">
      <c r="A16" s="108"/>
      <c r="B16" s="281" t="s">
        <v>165</v>
      </c>
      <c r="C16" s="281"/>
      <c r="D16" s="279" t="s">
        <v>177</v>
      </c>
      <c r="E16" s="279"/>
      <c r="F16" s="279"/>
      <c r="G16" s="279"/>
      <c r="H16" s="279"/>
      <c r="I16" s="279"/>
      <c r="J16" s="280"/>
    </row>
    <row r="17" spans="1:10" ht="40.5" customHeight="1" x14ac:dyDescent="0.2">
      <c r="A17" s="108"/>
      <c r="B17" s="281" t="s">
        <v>164</v>
      </c>
      <c r="C17" s="281"/>
      <c r="D17" s="300" t="str">
        <f>D9</f>
        <v>GMINA ROPCZYCE
WOJEWÓDZTWO PODKARPACKIE</v>
      </c>
      <c r="E17" s="300"/>
      <c r="F17" s="300"/>
      <c r="G17" s="300"/>
      <c r="H17" s="300"/>
      <c r="J17" s="107"/>
    </row>
    <row r="18" spans="1:10" ht="19.5" customHeight="1" x14ac:dyDescent="0.2">
      <c r="A18" s="108"/>
      <c r="B18" s="281"/>
      <c r="C18" s="281"/>
      <c r="D18" s="300" t="s">
        <v>178</v>
      </c>
      <c r="E18" s="300"/>
      <c r="F18" s="300"/>
      <c r="G18" s="300"/>
      <c r="H18" s="300"/>
      <c r="J18" s="107"/>
    </row>
    <row r="19" spans="1:10" ht="21" customHeight="1" x14ac:dyDescent="0.2">
      <c r="A19" s="108"/>
      <c r="B19" s="281"/>
      <c r="C19" s="281"/>
      <c r="D19" s="300" t="s">
        <v>179</v>
      </c>
      <c r="E19" s="300"/>
      <c r="F19" s="300"/>
      <c r="G19" s="300"/>
      <c r="H19" s="300"/>
      <c r="J19" s="107"/>
    </row>
    <row r="20" spans="1:10" ht="15" x14ac:dyDescent="0.2">
      <c r="A20" s="108"/>
      <c r="B20" s="112"/>
      <c r="C20" s="112"/>
      <c r="D20" s="111"/>
      <c r="E20" s="110"/>
      <c r="F20" s="110"/>
      <c r="J20" s="107"/>
    </row>
    <row r="21" spans="1:10" ht="15" x14ac:dyDescent="0.2">
      <c r="A21" s="108"/>
      <c r="C21" s="112"/>
      <c r="D21" s="111"/>
      <c r="E21" s="110"/>
      <c r="F21" s="110"/>
      <c r="J21" s="107"/>
    </row>
    <row r="22" spans="1:10" ht="15" x14ac:dyDescent="0.2">
      <c r="A22" s="108"/>
      <c r="B22" s="113" t="s">
        <v>163</v>
      </c>
      <c r="C22" s="113"/>
      <c r="D22" s="111"/>
      <c r="E22" s="110"/>
      <c r="F22" s="110"/>
      <c r="J22" s="107"/>
    </row>
    <row r="23" spans="1:10" ht="15" x14ac:dyDescent="0.2">
      <c r="A23" s="108"/>
      <c r="B23" s="112"/>
      <c r="C23" s="112"/>
      <c r="D23" s="111"/>
      <c r="E23" s="110"/>
      <c r="F23" s="110"/>
      <c r="J23" s="107"/>
    </row>
    <row r="24" spans="1:10" ht="19.5" customHeight="1" x14ac:dyDescent="0.2">
      <c r="A24" s="108"/>
      <c r="B24" s="305" t="s">
        <v>162</v>
      </c>
      <c r="C24" s="309" t="s">
        <v>180</v>
      </c>
      <c r="D24" s="309" t="s">
        <v>161</v>
      </c>
      <c r="E24" s="309"/>
      <c r="F24" s="309"/>
      <c r="G24" s="309"/>
      <c r="H24" s="305" t="s">
        <v>160</v>
      </c>
      <c r="I24" s="305" t="s">
        <v>159</v>
      </c>
      <c r="J24" s="107"/>
    </row>
    <row r="25" spans="1:10" ht="20.25" customHeight="1" x14ac:dyDescent="0.2">
      <c r="A25" s="108"/>
      <c r="B25" s="305"/>
      <c r="C25" s="310"/>
      <c r="D25" s="306" t="s">
        <v>158</v>
      </c>
      <c r="E25" s="306"/>
      <c r="F25" s="306"/>
      <c r="G25" s="306"/>
      <c r="H25" s="305"/>
      <c r="I25" s="305"/>
      <c r="J25" s="107"/>
    </row>
    <row r="26" spans="1:10" ht="21" customHeight="1" x14ac:dyDescent="0.2">
      <c r="A26" s="108"/>
      <c r="B26" s="307" t="s">
        <v>157</v>
      </c>
      <c r="C26" s="283" t="s">
        <v>156</v>
      </c>
      <c r="D26" s="285" t="s">
        <v>184</v>
      </c>
      <c r="E26" s="286"/>
      <c r="F26" s="286"/>
      <c r="G26" s="287"/>
      <c r="H26" s="308" t="s">
        <v>183</v>
      </c>
      <c r="I26" s="291"/>
      <c r="J26" s="107"/>
    </row>
    <row r="27" spans="1:10" ht="20.25" customHeight="1" x14ac:dyDescent="0.2">
      <c r="A27" s="108"/>
      <c r="B27" s="307"/>
      <c r="C27" s="284"/>
      <c r="D27" s="288"/>
      <c r="E27" s="289"/>
      <c r="F27" s="289"/>
      <c r="G27" s="290"/>
      <c r="H27" s="308"/>
      <c r="I27" s="292"/>
      <c r="J27" s="107"/>
    </row>
    <row r="28" spans="1:10" ht="24" hidden="1" customHeight="1" x14ac:dyDescent="0.2">
      <c r="A28" s="108"/>
      <c r="B28" s="307" t="s">
        <v>19</v>
      </c>
      <c r="C28" s="109" t="s">
        <v>156</v>
      </c>
      <c r="D28" s="308" t="s">
        <v>155</v>
      </c>
      <c r="E28" s="308"/>
      <c r="F28" s="308"/>
      <c r="G28" s="308"/>
      <c r="H28" s="308" t="s">
        <v>154</v>
      </c>
      <c r="I28" s="304"/>
      <c r="J28" s="107"/>
    </row>
    <row r="29" spans="1:10" hidden="1" x14ac:dyDescent="0.2">
      <c r="A29" s="108"/>
      <c r="B29" s="307"/>
      <c r="C29" s="109" t="s">
        <v>153</v>
      </c>
      <c r="D29" s="308"/>
      <c r="E29" s="308"/>
      <c r="F29" s="308"/>
      <c r="G29" s="308"/>
      <c r="H29" s="308"/>
      <c r="I29" s="304"/>
      <c r="J29" s="107"/>
    </row>
    <row r="30" spans="1:10" ht="15" x14ac:dyDescent="0.2">
      <c r="A30" s="108"/>
      <c r="B30" s="103"/>
      <c r="J30" s="107"/>
    </row>
    <row r="31" spans="1:10" ht="15" x14ac:dyDescent="0.2">
      <c r="A31" s="108"/>
      <c r="B31" s="103"/>
      <c r="E31" s="294" t="s">
        <v>182</v>
      </c>
      <c r="F31" s="294"/>
      <c r="G31" s="294"/>
      <c r="J31" s="107"/>
    </row>
    <row r="32" spans="1:10" x14ac:dyDescent="0.2">
      <c r="A32" s="106"/>
      <c r="B32" s="105"/>
      <c r="C32" s="105"/>
      <c r="D32" s="105"/>
      <c r="E32" s="105"/>
      <c r="F32" s="105"/>
      <c r="G32" s="105"/>
      <c r="H32" s="105"/>
      <c r="I32" s="105"/>
      <c r="J32" s="104"/>
    </row>
    <row r="33" spans="2:2" ht="15" x14ac:dyDescent="0.2">
      <c r="B33" s="103"/>
    </row>
    <row r="40" spans="2:2" ht="15" x14ac:dyDescent="0.2">
      <c r="B40" s="102"/>
    </row>
    <row r="41" spans="2:2" ht="15" x14ac:dyDescent="0.2">
      <c r="B41" s="102"/>
    </row>
  </sheetData>
  <mergeCells count="35">
    <mergeCell ref="I28:I29"/>
    <mergeCell ref="I24:I25"/>
    <mergeCell ref="D25:G25"/>
    <mergeCell ref="B26:B27"/>
    <mergeCell ref="H26:H27"/>
    <mergeCell ref="C24:C25"/>
    <mergeCell ref="B24:B25"/>
    <mergeCell ref="D24:G24"/>
    <mergeCell ref="H24:H25"/>
    <mergeCell ref="B28:B29"/>
    <mergeCell ref="D28:G29"/>
    <mergeCell ref="H28:H29"/>
    <mergeCell ref="E31:G31"/>
    <mergeCell ref="B1:C3"/>
    <mergeCell ref="D1:J3"/>
    <mergeCell ref="B4:C5"/>
    <mergeCell ref="D4:J5"/>
    <mergeCell ref="B6:C6"/>
    <mergeCell ref="D6:J7"/>
    <mergeCell ref="D9:I9"/>
    <mergeCell ref="D10:H10"/>
    <mergeCell ref="B17:C19"/>
    <mergeCell ref="D17:H17"/>
    <mergeCell ref="D18:H18"/>
    <mergeCell ref="D19:H19"/>
    <mergeCell ref="D8:J8"/>
    <mergeCell ref="D12:F12"/>
    <mergeCell ref="B13:C15"/>
    <mergeCell ref="D16:J16"/>
    <mergeCell ref="B16:C16"/>
    <mergeCell ref="B7:C12"/>
    <mergeCell ref="C26:C27"/>
    <mergeCell ref="D26:G27"/>
    <mergeCell ref="I26:I27"/>
    <mergeCell ref="D13:F1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J53"/>
  <sheetViews>
    <sheetView workbookViewId="0"/>
  </sheetViews>
  <sheetFormatPr defaultRowHeight="12.75" x14ac:dyDescent="0.2"/>
  <cols>
    <col min="4" max="4" width="11.5703125" customWidth="1"/>
    <col min="5" max="5" width="10.42578125" customWidth="1"/>
    <col min="6" max="6" width="10.5703125" customWidth="1"/>
  </cols>
  <sheetData>
    <row r="1" spans="1:9" ht="18.75" customHeight="1" x14ac:dyDescent="0.2">
      <c r="E1" s="487" t="s">
        <v>86</v>
      </c>
      <c r="F1" s="487"/>
      <c r="G1" s="487"/>
    </row>
    <row r="2" spans="1:9" x14ac:dyDescent="0.2">
      <c r="H2" s="488"/>
      <c r="I2" s="488"/>
    </row>
    <row r="3" spans="1:9" ht="12.75" customHeight="1" x14ac:dyDescent="0.2">
      <c r="A3" s="489" t="s">
        <v>87</v>
      </c>
      <c r="B3" s="489"/>
      <c r="C3" s="489"/>
      <c r="D3" s="489"/>
      <c r="E3" s="489"/>
      <c r="F3" s="489"/>
      <c r="G3" s="56"/>
      <c r="H3" s="56"/>
      <c r="I3" s="56"/>
    </row>
    <row r="4" spans="1:9" ht="12.75" customHeight="1" x14ac:dyDescent="0.2">
      <c r="A4" s="489"/>
      <c r="B4" s="489"/>
      <c r="C4" s="489"/>
      <c r="D4" s="489"/>
      <c r="E4" s="489"/>
      <c r="F4" s="489"/>
      <c r="G4" s="56"/>
      <c r="H4" s="56"/>
      <c r="I4" s="56"/>
    </row>
    <row r="5" spans="1:9" ht="12.75" customHeight="1" x14ac:dyDescent="0.2">
      <c r="A5" s="423" t="s">
        <v>96</v>
      </c>
      <c r="B5" s="423"/>
      <c r="C5" s="423"/>
      <c r="D5" s="423"/>
      <c r="E5" s="423"/>
      <c r="F5" s="423"/>
      <c r="G5" s="56"/>
      <c r="H5" s="56"/>
      <c r="I5" s="56"/>
    </row>
    <row r="6" spans="1:9" ht="69.75" customHeight="1" x14ac:dyDescent="0.2">
      <c r="A6" s="423"/>
      <c r="B6" s="423"/>
      <c r="C6" s="423"/>
      <c r="D6" s="423"/>
      <c r="E6" s="423"/>
      <c r="F6" s="423"/>
      <c r="G6" s="28"/>
      <c r="H6" s="28"/>
      <c r="I6" s="28"/>
    </row>
    <row r="7" spans="1:9" ht="12.75" customHeight="1" x14ac:dyDescent="0.2">
      <c r="A7" s="424" t="s">
        <v>28</v>
      </c>
      <c r="B7" s="425"/>
      <c r="C7" s="425"/>
      <c r="D7" s="425"/>
      <c r="E7" s="425"/>
      <c r="F7" s="426"/>
    </row>
    <row r="8" spans="1:9" ht="12.75" customHeight="1" x14ac:dyDescent="0.2">
      <c r="A8" s="411" t="s">
        <v>29</v>
      </c>
      <c r="B8" s="411" t="s">
        <v>30</v>
      </c>
      <c r="C8" s="411" t="s">
        <v>31</v>
      </c>
      <c r="D8" s="413" t="s">
        <v>88</v>
      </c>
      <c r="E8" s="413"/>
      <c r="F8" s="413"/>
    </row>
    <row r="9" spans="1:9" x14ac:dyDescent="0.2">
      <c r="A9" s="412"/>
      <c r="B9" s="412"/>
      <c r="C9" s="411"/>
      <c r="D9" s="411" t="s">
        <v>33</v>
      </c>
      <c r="E9" s="411" t="s">
        <v>34</v>
      </c>
      <c r="F9" s="411" t="s">
        <v>35</v>
      </c>
    </row>
    <row r="10" spans="1:9" x14ac:dyDescent="0.2">
      <c r="A10" s="412"/>
      <c r="B10" s="412"/>
      <c r="C10" s="411"/>
      <c r="D10" s="411"/>
      <c r="E10" s="411"/>
      <c r="F10" s="411"/>
    </row>
    <row r="11" spans="1:9" ht="12" customHeight="1" x14ac:dyDescent="0.2">
      <c r="A11" s="412"/>
      <c r="B11" s="412"/>
      <c r="C11" s="411"/>
      <c r="D11" s="411"/>
      <c r="E11" s="411"/>
      <c r="F11" s="411"/>
      <c r="G11" s="486"/>
    </row>
    <row r="12" spans="1:9" ht="12" customHeight="1" x14ac:dyDescent="0.2">
      <c r="A12" s="419">
        <v>13</v>
      </c>
      <c r="B12" s="415">
        <v>780</v>
      </c>
      <c r="C12" s="30" t="s">
        <v>2</v>
      </c>
      <c r="D12" s="410">
        <v>0</v>
      </c>
      <c r="E12" s="31" t="s">
        <v>2</v>
      </c>
      <c r="F12" s="31" t="s">
        <v>2</v>
      </c>
      <c r="G12" s="486"/>
    </row>
    <row r="13" spans="1:9" ht="12" customHeight="1" x14ac:dyDescent="0.2">
      <c r="A13" s="419"/>
      <c r="B13" s="415"/>
      <c r="C13" s="415">
        <f>B14-B12</f>
        <v>2.4</v>
      </c>
      <c r="D13" s="410"/>
      <c r="E13" s="410">
        <f>SUM(0.5*D12,0.5*D14)</f>
        <v>0.81</v>
      </c>
      <c r="F13" s="410">
        <f>PRODUCT(C13,E13)</f>
        <v>1.94</v>
      </c>
      <c r="G13" s="486"/>
    </row>
    <row r="14" spans="1:9" ht="12" customHeight="1" x14ac:dyDescent="0.2">
      <c r="A14" s="419"/>
      <c r="B14" s="415">
        <v>782.4</v>
      </c>
      <c r="C14" s="415"/>
      <c r="D14" s="418">
        <v>1.62</v>
      </c>
      <c r="E14" s="410"/>
      <c r="F14" s="410"/>
      <c r="G14" s="486"/>
    </row>
    <row r="15" spans="1:9" ht="12" customHeight="1" x14ac:dyDescent="0.2">
      <c r="A15" s="419"/>
      <c r="B15" s="415"/>
      <c r="C15" s="415">
        <f>B16-B14</f>
        <v>28.9</v>
      </c>
      <c r="D15" s="434"/>
      <c r="E15" s="410">
        <f>SUM(0.5*D14,0.5*D16)</f>
        <v>1.62</v>
      </c>
      <c r="F15" s="410">
        <f>PRODUCT(C15,E15)</f>
        <v>46.82</v>
      </c>
      <c r="G15" s="486"/>
    </row>
    <row r="16" spans="1:9" ht="12" customHeight="1" x14ac:dyDescent="0.2">
      <c r="A16" s="419"/>
      <c r="B16" s="415">
        <v>811.3</v>
      </c>
      <c r="C16" s="415"/>
      <c r="D16" s="410">
        <v>1.62</v>
      </c>
      <c r="E16" s="410"/>
      <c r="F16" s="410"/>
      <c r="G16" s="486"/>
    </row>
    <row r="17" spans="1:7" ht="12" customHeight="1" x14ac:dyDescent="0.2">
      <c r="A17" s="419"/>
      <c r="B17" s="415"/>
      <c r="C17" s="415">
        <f>B18-B16</f>
        <v>18.7</v>
      </c>
      <c r="D17" s="410"/>
      <c r="E17" s="410">
        <f>SUM(0.5*D16,0.5*D18)</f>
        <v>1.62</v>
      </c>
      <c r="F17" s="410">
        <f>PRODUCT(C17,E17)</f>
        <v>30.29</v>
      </c>
      <c r="G17" s="486"/>
    </row>
    <row r="18" spans="1:7" ht="12" customHeight="1" x14ac:dyDescent="0.2">
      <c r="A18" s="419"/>
      <c r="B18" s="415">
        <v>830</v>
      </c>
      <c r="C18" s="415"/>
      <c r="D18" s="410">
        <v>1.62</v>
      </c>
      <c r="E18" s="410"/>
      <c r="F18" s="410"/>
      <c r="G18" s="486"/>
    </row>
    <row r="19" spans="1:7" ht="12" customHeight="1" x14ac:dyDescent="0.2">
      <c r="A19" s="419"/>
      <c r="B19" s="415"/>
      <c r="C19" s="415">
        <f>B20-B18</f>
        <v>31.6</v>
      </c>
      <c r="D19" s="410"/>
      <c r="E19" s="410">
        <f>SUM(0.5*D18,0.5*D20)</f>
        <v>1.62</v>
      </c>
      <c r="F19" s="410">
        <f>PRODUCT(C19,E19)</f>
        <v>51.19</v>
      </c>
      <c r="G19" s="486"/>
    </row>
    <row r="20" spans="1:7" ht="12" customHeight="1" x14ac:dyDescent="0.2">
      <c r="A20" s="419"/>
      <c r="B20" s="415">
        <v>861.6</v>
      </c>
      <c r="C20" s="415"/>
      <c r="D20" s="410">
        <v>1.62</v>
      </c>
      <c r="E20" s="410"/>
      <c r="F20" s="410"/>
      <c r="G20" s="486"/>
    </row>
    <row r="21" spans="1:7" ht="12" customHeight="1" x14ac:dyDescent="0.2">
      <c r="A21" s="419"/>
      <c r="B21" s="415"/>
      <c r="C21" s="415">
        <f>B22-B20</f>
        <v>18.399999999999999</v>
      </c>
      <c r="D21" s="410"/>
      <c r="E21" s="410">
        <f>SUM(0.5*D20,0.5*D22)</f>
        <v>1.62</v>
      </c>
      <c r="F21" s="410">
        <f>PRODUCT(C21,E21)</f>
        <v>29.81</v>
      </c>
      <c r="G21" s="486"/>
    </row>
    <row r="22" spans="1:7" ht="12" customHeight="1" x14ac:dyDescent="0.2">
      <c r="A22" s="419"/>
      <c r="B22" s="415">
        <v>880</v>
      </c>
      <c r="C22" s="415"/>
      <c r="D22" s="410">
        <v>1.62</v>
      </c>
      <c r="E22" s="410"/>
      <c r="F22" s="410"/>
      <c r="G22" s="486"/>
    </row>
    <row r="23" spans="1:7" ht="12" customHeight="1" x14ac:dyDescent="0.2">
      <c r="A23" s="419"/>
      <c r="B23" s="415"/>
      <c r="C23" s="415">
        <f>B24-B22</f>
        <v>23.7</v>
      </c>
      <c r="D23" s="410"/>
      <c r="E23" s="410">
        <f>SUM(0.5*D22,0.5*D24)</f>
        <v>1.62</v>
      </c>
      <c r="F23" s="410">
        <f>PRODUCT(C23,E23)</f>
        <v>38.39</v>
      </c>
      <c r="G23" s="486"/>
    </row>
    <row r="24" spans="1:7" ht="12" customHeight="1" x14ac:dyDescent="0.2">
      <c r="A24" s="419"/>
      <c r="B24" s="415">
        <v>903.7</v>
      </c>
      <c r="C24" s="415"/>
      <c r="D24" s="410">
        <v>1.62</v>
      </c>
      <c r="E24" s="410"/>
      <c r="F24" s="410"/>
      <c r="G24" s="486"/>
    </row>
    <row r="25" spans="1:7" ht="12" customHeight="1" x14ac:dyDescent="0.2">
      <c r="A25" s="419"/>
      <c r="B25" s="415"/>
      <c r="C25" s="415">
        <f>B26-B24</f>
        <v>34.299999999999997</v>
      </c>
      <c r="D25" s="410"/>
      <c r="E25" s="410">
        <f>SUM(0.5*D24,0.5*D26)</f>
        <v>1.62</v>
      </c>
      <c r="F25" s="410">
        <f>PRODUCT(C25,E25)</f>
        <v>55.57</v>
      </c>
      <c r="G25" s="486"/>
    </row>
    <row r="26" spans="1:7" ht="12" customHeight="1" x14ac:dyDescent="0.2">
      <c r="A26" s="419"/>
      <c r="B26" s="415">
        <v>938</v>
      </c>
      <c r="C26" s="415"/>
      <c r="D26" s="410">
        <v>1.62</v>
      </c>
      <c r="E26" s="410"/>
      <c r="F26" s="410"/>
      <c r="G26" s="486"/>
    </row>
    <row r="27" spans="1:7" ht="12" customHeight="1" x14ac:dyDescent="0.2">
      <c r="A27" s="419"/>
      <c r="B27" s="415"/>
      <c r="C27" s="30" t="s">
        <v>2</v>
      </c>
      <c r="D27" s="410"/>
      <c r="E27" s="31" t="s">
        <v>2</v>
      </c>
      <c r="F27" s="31" t="s">
        <v>2</v>
      </c>
      <c r="G27" s="486"/>
    </row>
    <row r="28" spans="1:7" ht="12" customHeight="1" x14ac:dyDescent="0.2">
      <c r="A28" s="64"/>
      <c r="B28" s="65"/>
      <c r="C28" s="65"/>
      <c r="D28" s="416" t="s">
        <v>37</v>
      </c>
      <c r="E28" s="416"/>
      <c r="F28" s="417">
        <f>SUM(F13:F26)</f>
        <v>254.01</v>
      </c>
      <c r="G28" s="449"/>
    </row>
    <row r="29" spans="1:7" ht="12" customHeight="1" x14ac:dyDescent="0.2">
      <c r="A29" s="64"/>
      <c r="B29" s="65"/>
      <c r="C29" s="65"/>
      <c r="D29" s="416"/>
      <c r="E29" s="416"/>
      <c r="F29" s="417"/>
      <c r="G29" s="449"/>
    </row>
    <row r="30" spans="1:7" ht="12" customHeight="1" x14ac:dyDescent="0.2">
      <c r="A30" s="64"/>
      <c r="B30" s="65"/>
      <c r="C30" s="65"/>
      <c r="D30" s="416" t="s">
        <v>38</v>
      </c>
      <c r="E30" s="416"/>
      <c r="F30" s="417">
        <f>14.01+11.51+9.1</f>
        <v>34.619999999999997</v>
      </c>
      <c r="G30" s="449"/>
    </row>
    <row r="31" spans="1:7" ht="12" customHeight="1" x14ac:dyDescent="0.2">
      <c r="A31" s="64"/>
      <c r="B31" s="65"/>
      <c r="C31" s="65"/>
      <c r="D31" s="416"/>
      <c r="E31" s="416"/>
      <c r="F31" s="417"/>
      <c r="G31" s="449"/>
    </row>
    <row r="32" spans="1:7" ht="12" customHeight="1" x14ac:dyDescent="0.2">
      <c r="A32" s="64"/>
      <c r="B32" s="65"/>
      <c r="C32" s="65"/>
      <c r="D32" s="416" t="s">
        <v>97</v>
      </c>
      <c r="E32" s="416"/>
      <c r="F32" s="417">
        <f>F28+F30</f>
        <v>288.63</v>
      </c>
      <c r="G32" s="449"/>
    </row>
    <row r="33" spans="1:10" ht="12" customHeight="1" x14ac:dyDescent="0.2">
      <c r="A33" s="64"/>
      <c r="B33" s="65"/>
      <c r="C33" s="65"/>
      <c r="D33" s="416"/>
      <c r="E33" s="416"/>
      <c r="F33" s="417"/>
      <c r="G33" s="449"/>
    </row>
    <row r="34" spans="1:10" ht="12" customHeight="1" x14ac:dyDescent="0.2">
      <c r="A34" s="64"/>
      <c r="B34" s="65"/>
      <c r="C34" s="65"/>
      <c r="D34" s="66"/>
      <c r="E34" s="66"/>
      <c r="F34" s="66"/>
      <c r="G34" s="449"/>
    </row>
    <row r="35" spans="1:10" ht="12" customHeight="1" x14ac:dyDescent="0.2">
      <c r="A35" s="424" t="s">
        <v>36</v>
      </c>
      <c r="B35" s="425"/>
      <c r="C35" s="425"/>
      <c r="D35" s="425"/>
      <c r="E35" s="425"/>
      <c r="F35" s="426"/>
      <c r="G35" s="486"/>
    </row>
    <row r="36" spans="1:10" ht="12" customHeight="1" x14ac:dyDescent="0.2">
      <c r="A36" s="411" t="s">
        <v>29</v>
      </c>
      <c r="B36" s="411" t="s">
        <v>30</v>
      </c>
      <c r="C36" s="411" t="s">
        <v>31</v>
      </c>
      <c r="D36" s="413" t="s">
        <v>88</v>
      </c>
      <c r="E36" s="413"/>
      <c r="F36" s="413"/>
      <c r="J36" s="36"/>
    </row>
    <row r="37" spans="1:10" ht="12" customHeight="1" x14ac:dyDescent="0.2">
      <c r="A37" s="412"/>
      <c r="B37" s="412"/>
      <c r="C37" s="411"/>
      <c r="D37" s="411" t="s">
        <v>33</v>
      </c>
      <c r="E37" s="411" t="s">
        <v>34</v>
      </c>
      <c r="F37" s="411" t="s">
        <v>35</v>
      </c>
      <c r="J37" s="36"/>
    </row>
    <row r="38" spans="1:10" ht="12" customHeight="1" x14ac:dyDescent="0.2">
      <c r="A38" s="412"/>
      <c r="B38" s="412"/>
      <c r="C38" s="411"/>
      <c r="D38" s="411"/>
      <c r="E38" s="411"/>
      <c r="F38" s="411"/>
      <c r="H38" s="36"/>
    </row>
    <row r="39" spans="1:10" ht="12" customHeight="1" x14ac:dyDescent="0.2">
      <c r="A39" s="412"/>
      <c r="B39" s="412"/>
      <c r="C39" s="411"/>
      <c r="D39" s="411"/>
      <c r="E39" s="411"/>
      <c r="F39" s="411"/>
    </row>
    <row r="40" spans="1:10" x14ac:dyDescent="0.2">
      <c r="A40" s="419">
        <v>0</v>
      </c>
      <c r="B40" s="433">
        <v>12</v>
      </c>
      <c r="C40" s="32" t="s">
        <v>2</v>
      </c>
      <c r="D40" s="434">
        <v>1.62</v>
      </c>
      <c r="E40" s="33" t="s">
        <v>2</v>
      </c>
      <c r="F40" s="33" t="s">
        <v>2</v>
      </c>
    </row>
    <row r="41" spans="1:10" x14ac:dyDescent="0.2">
      <c r="A41" s="419"/>
      <c r="B41" s="415"/>
      <c r="C41" s="415">
        <f>B42-B40</f>
        <v>5.7</v>
      </c>
      <c r="D41" s="418"/>
      <c r="E41" s="410">
        <f>SUM(0.5*D40,0.5*D42)</f>
        <v>1.62</v>
      </c>
      <c r="F41" s="410">
        <f>PRODUCT(C41,E41)</f>
        <v>9.23</v>
      </c>
    </row>
    <row r="42" spans="1:10" x14ac:dyDescent="0.2">
      <c r="A42" s="419"/>
      <c r="B42" s="415">
        <v>17.7</v>
      </c>
      <c r="C42" s="415"/>
      <c r="D42" s="410">
        <v>1.62</v>
      </c>
      <c r="E42" s="410"/>
      <c r="F42" s="410"/>
    </row>
    <row r="43" spans="1:10" x14ac:dyDescent="0.2">
      <c r="A43" s="419"/>
      <c r="B43" s="415"/>
      <c r="C43" s="408">
        <f>B44-B42</f>
        <v>17.3</v>
      </c>
      <c r="D43" s="418"/>
      <c r="E43" s="410">
        <f>SUM(0.5*D42,0.5*D44)</f>
        <v>1.62</v>
      </c>
      <c r="F43" s="410">
        <f>PRODUCT(C43,E43)</f>
        <v>28.03</v>
      </c>
    </row>
    <row r="44" spans="1:10" x14ac:dyDescent="0.2">
      <c r="A44" s="419"/>
      <c r="B44" s="415">
        <v>35</v>
      </c>
      <c r="C44" s="409"/>
      <c r="D44" s="410">
        <v>1.62</v>
      </c>
      <c r="E44" s="410"/>
      <c r="F44" s="410"/>
    </row>
    <row r="45" spans="1:10" x14ac:dyDescent="0.2">
      <c r="A45" s="419"/>
      <c r="B45" s="415"/>
      <c r="C45" s="408">
        <f>B46-B44</f>
        <v>17</v>
      </c>
      <c r="D45" s="418"/>
      <c r="E45" s="410">
        <f>SUM(0.5*D44,0.5*D46)</f>
        <v>0.81</v>
      </c>
      <c r="F45" s="410">
        <f>PRODUCT(C45,E45)</f>
        <v>13.77</v>
      </c>
    </row>
    <row r="46" spans="1:10" x14ac:dyDescent="0.2">
      <c r="A46" s="419"/>
      <c r="B46" s="415">
        <v>52</v>
      </c>
      <c r="C46" s="409"/>
      <c r="D46" s="410">
        <v>0</v>
      </c>
      <c r="E46" s="410"/>
      <c r="F46" s="410"/>
    </row>
    <row r="47" spans="1:10" x14ac:dyDescent="0.2">
      <c r="A47" s="419"/>
      <c r="B47" s="415"/>
      <c r="C47" s="30" t="s">
        <v>2</v>
      </c>
      <c r="D47" s="418"/>
      <c r="E47" s="57" t="s">
        <v>2</v>
      </c>
      <c r="F47" s="57" t="s">
        <v>2</v>
      </c>
    </row>
    <row r="48" spans="1:10" x14ac:dyDescent="0.2">
      <c r="D48" s="416" t="s">
        <v>37</v>
      </c>
      <c r="E48" s="416"/>
      <c r="F48" s="417">
        <f>SUM(F41:F47)</f>
        <v>51.03</v>
      </c>
    </row>
    <row r="49" spans="3:6" ht="13.5" customHeight="1" x14ac:dyDescent="0.2">
      <c r="C49" s="26"/>
      <c r="D49" s="416"/>
      <c r="E49" s="416"/>
      <c r="F49" s="417"/>
    </row>
    <row r="50" spans="3:6" x14ac:dyDescent="0.2">
      <c r="D50" s="416" t="s">
        <v>38</v>
      </c>
      <c r="E50" s="416"/>
      <c r="F50" s="417">
        <f>6.5+18.56</f>
        <v>25.06</v>
      </c>
    </row>
    <row r="51" spans="3:6" x14ac:dyDescent="0.2">
      <c r="D51" s="416"/>
      <c r="E51" s="416"/>
      <c r="F51" s="417"/>
    </row>
    <row r="52" spans="3:6" x14ac:dyDescent="0.2">
      <c r="D52" s="416" t="s">
        <v>98</v>
      </c>
      <c r="E52" s="416"/>
      <c r="F52" s="417">
        <f>F48+F50</f>
        <v>76.09</v>
      </c>
    </row>
    <row r="53" spans="3:6" x14ac:dyDescent="0.2">
      <c r="D53" s="416"/>
      <c r="E53" s="416"/>
      <c r="F53" s="417"/>
    </row>
  </sheetData>
  <mergeCells count="97">
    <mergeCell ref="E1:G1"/>
    <mergeCell ref="H2:I2"/>
    <mergeCell ref="A3:F4"/>
    <mergeCell ref="A5:F6"/>
    <mergeCell ref="A7:F7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B16:B17"/>
    <mergeCell ref="D16:D17"/>
    <mergeCell ref="C17:C18"/>
    <mergeCell ref="E17:E18"/>
    <mergeCell ref="B14:B15"/>
    <mergeCell ref="D14:D15"/>
    <mergeCell ref="C15:C16"/>
    <mergeCell ref="E15:E16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D22:D23"/>
    <mergeCell ref="C23:C24"/>
    <mergeCell ref="E23:E24"/>
    <mergeCell ref="F23:F24"/>
    <mergeCell ref="G23:G24"/>
    <mergeCell ref="G25:G26"/>
    <mergeCell ref="B26:B27"/>
    <mergeCell ref="D26:D27"/>
    <mergeCell ref="G27:G35"/>
    <mergeCell ref="A35:F35"/>
    <mergeCell ref="B24:B25"/>
    <mergeCell ref="D24:D25"/>
    <mergeCell ref="C25:C26"/>
    <mergeCell ref="E25:E26"/>
    <mergeCell ref="F25:F26"/>
    <mergeCell ref="C43:C44"/>
    <mergeCell ref="E43:E44"/>
    <mergeCell ref="F43:F44"/>
    <mergeCell ref="A36:A39"/>
    <mergeCell ref="B36:B39"/>
    <mergeCell ref="C36:C39"/>
    <mergeCell ref="D36:F36"/>
    <mergeCell ref="D37:D39"/>
    <mergeCell ref="E37:E39"/>
    <mergeCell ref="F37:F39"/>
    <mergeCell ref="B46:B47"/>
    <mergeCell ref="D46:D47"/>
    <mergeCell ref="D48:E49"/>
    <mergeCell ref="F48:F49"/>
    <mergeCell ref="A40:A47"/>
    <mergeCell ref="B40:B41"/>
    <mergeCell ref="D40:D41"/>
    <mergeCell ref="C41:C42"/>
    <mergeCell ref="E41:E42"/>
    <mergeCell ref="B44:B45"/>
    <mergeCell ref="D44:D45"/>
    <mergeCell ref="C45:C46"/>
    <mergeCell ref="E45:E46"/>
    <mergeCell ref="F41:F42"/>
    <mergeCell ref="B42:B43"/>
    <mergeCell ref="D42:D43"/>
    <mergeCell ref="D50:E51"/>
    <mergeCell ref="F50:F51"/>
    <mergeCell ref="D52:E53"/>
    <mergeCell ref="F52:F53"/>
    <mergeCell ref="D28:E29"/>
    <mergeCell ref="F28:F29"/>
    <mergeCell ref="D30:E31"/>
    <mergeCell ref="F30:F31"/>
    <mergeCell ref="D32:E33"/>
    <mergeCell ref="F32:F33"/>
    <mergeCell ref="F45:F4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7" orientation="portrait" horizontalDpi="4294967294" vertic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45"/>
  <sheetViews>
    <sheetView workbookViewId="0"/>
  </sheetViews>
  <sheetFormatPr defaultRowHeight="12.75" x14ac:dyDescent="0.2"/>
  <cols>
    <col min="4" max="4" width="11.5703125" customWidth="1"/>
    <col min="5" max="5" width="10.42578125" customWidth="1"/>
    <col min="6" max="6" width="10.5703125" customWidth="1"/>
  </cols>
  <sheetData>
    <row r="1" spans="1:9" ht="18.75" customHeight="1" x14ac:dyDescent="0.2">
      <c r="E1" s="487" t="s">
        <v>89</v>
      </c>
      <c r="F1" s="487"/>
      <c r="G1" s="487"/>
    </row>
    <row r="2" spans="1:9" x14ac:dyDescent="0.2">
      <c r="H2" s="488"/>
      <c r="I2" s="488"/>
    </row>
    <row r="3" spans="1:9" ht="12.75" customHeight="1" x14ac:dyDescent="0.2">
      <c r="A3" s="489" t="s">
        <v>90</v>
      </c>
      <c r="B3" s="489"/>
      <c r="C3" s="489"/>
      <c r="D3" s="489"/>
      <c r="E3" s="489"/>
      <c r="F3" s="489"/>
      <c r="G3" s="56"/>
      <c r="H3" s="56"/>
      <c r="I3" s="56"/>
    </row>
    <row r="4" spans="1:9" ht="30.75" customHeight="1" x14ac:dyDescent="0.2">
      <c r="A4" s="489"/>
      <c r="B4" s="489"/>
      <c r="C4" s="489"/>
      <c r="D4" s="489"/>
      <c r="E4" s="489"/>
      <c r="F4" s="489"/>
      <c r="G4" s="56"/>
      <c r="H4" s="56"/>
      <c r="I4" s="56"/>
    </row>
    <row r="5" spans="1:9" ht="12.75" customHeight="1" x14ac:dyDescent="0.2">
      <c r="A5" s="423" t="s">
        <v>96</v>
      </c>
      <c r="B5" s="423"/>
      <c r="C5" s="423"/>
      <c r="D5" s="423"/>
      <c r="E5" s="423"/>
      <c r="F5" s="423"/>
      <c r="G5" s="56"/>
      <c r="H5" s="56"/>
      <c r="I5" s="56"/>
    </row>
    <row r="6" spans="1:9" ht="69.75" customHeight="1" x14ac:dyDescent="0.2">
      <c r="A6" s="423"/>
      <c r="B6" s="423"/>
      <c r="C6" s="423"/>
      <c r="D6" s="423"/>
      <c r="E6" s="423"/>
      <c r="F6" s="423"/>
      <c r="G6" s="28"/>
      <c r="H6" s="28"/>
      <c r="I6" s="28"/>
    </row>
    <row r="7" spans="1:9" ht="12.75" customHeight="1" x14ac:dyDescent="0.2">
      <c r="A7" s="424" t="s">
        <v>28</v>
      </c>
      <c r="B7" s="425"/>
      <c r="C7" s="425"/>
      <c r="D7" s="425"/>
      <c r="E7" s="425"/>
      <c r="F7" s="426"/>
    </row>
    <row r="8" spans="1:9" ht="12.75" customHeight="1" x14ac:dyDescent="0.2">
      <c r="A8" s="411" t="s">
        <v>29</v>
      </c>
      <c r="B8" s="411" t="s">
        <v>30</v>
      </c>
      <c r="C8" s="411" t="s">
        <v>31</v>
      </c>
      <c r="D8" s="413" t="s">
        <v>91</v>
      </c>
      <c r="E8" s="413"/>
      <c r="F8" s="413"/>
    </row>
    <row r="9" spans="1:9" x14ac:dyDescent="0.2">
      <c r="A9" s="412"/>
      <c r="B9" s="412"/>
      <c r="C9" s="411"/>
      <c r="D9" s="411" t="s">
        <v>33</v>
      </c>
      <c r="E9" s="411" t="s">
        <v>34</v>
      </c>
      <c r="F9" s="411" t="s">
        <v>35</v>
      </c>
    </row>
    <row r="10" spans="1:9" x14ac:dyDescent="0.2">
      <c r="A10" s="412"/>
      <c r="B10" s="412"/>
      <c r="C10" s="411"/>
      <c r="D10" s="411"/>
      <c r="E10" s="411"/>
      <c r="F10" s="411"/>
    </row>
    <row r="11" spans="1:9" ht="12" customHeight="1" x14ac:dyDescent="0.2">
      <c r="A11" s="412"/>
      <c r="B11" s="412"/>
      <c r="C11" s="411"/>
      <c r="D11" s="411"/>
      <c r="E11" s="411"/>
      <c r="F11" s="411"/>
      <c r="G11" s="486"/>
    </row>
    <row r="12" spans="1:9" ht="12" customHeight="1" x14ac:dyDescent="0.2">
      <c r="A12" s="419">
        <v>13</v>
      </c>
      <c r="B12" s="415">
        <v>780</v>
      </c>
      <c r="C12" s="30" t="s">
        <v>2</v>
      </c>
      <c r="D12" s="410">
        <v>0</v>
      </c>
      <c r="E12" s="31" t="s">
        <v>2</v>
      </c>
      <c r="F12" s="31" t="s">
        <v>2</v>
      </c>
      <c r="G12" s="486"/>
    </row>
    <row r="13" spans="1:9" ht="12" customHeight="1" x14ac:dyDescent="0.2">
      <c r="A13" s="419"/>
      <c r="B13" s="415"/>
      <c r="C13" s="415">
        <f>B14-B12</f>
        <v>2.4</v>
      </c>
      <c r="D13" s="410"/>
      <c r="E13" s="410">
        <f>SUM(0.5*D12,0.5*D14)</f>
        <v>0.68</v>
      </c>
      <c r="F13" s="410">
        <f>PRODUCT(C13,E13)</f>
        <v>1.63</v>
      </c>
      <c r="G13" s="486"/>
    </row>
    <row r="14" spans="1:9" ht="12" customHeight="1" x14ac:dyDescent="0.2">
      <c r="A14" s="419"/>
      <c r="B14" s="415">
        <v>782.4</v>
      </c>
      <c r="C14" s="415"/>
      <c r="D14" s="418">
        <v>1.35</v>
      </c>
      <c r="E14" s="410"/>
      <c r="F14" s="410"/>
      <c r="G14" s="486"/>
    </row>
    <row r="15" spans="1:9" ht="12" customHeight="1" x14ac:dyDescent="0.2">
      <c r="A15" s="419"/>
      <c r="B15" s="415"/>
      <c r="C15" s="415">
        <f>B16-B14</f>
        <v>28.9</v>
      </c>
      <c r="D15" s="434"/>
      <c r="E15" s="410">
        <f>SUM(0.5*D14,0.5*D16)</f>
        <v>1.35</v>
      </c>
      <c r="F15" s="410">
        <f>PRODUCT(C15,E15)</f>
        <v>39.020000000000003</v>
      </c>
      <c r="G15" s="486"/>
    </row>
    <row r="16" spans="1:9" ht="12" customHeight="1" x14ac:dyDescent="0.2">
      <c r="A16" s="419"/>
      <c r="B16" s="415">
        <v>811.3</v>
      </c>
      <c r="C16" s="415"/>
      <c r="D16" s="410">
        <v>1.35</v>
      </c>
      <c r="E16" s="410"/>
      <c r="F16" s="410"/>
      <c r="G16" s="486"/>
    </row>
    <row r="17" spans="1:10" ht="12" customHeight="1" x14ac:dyDescent="0.2">
      <c r="A17" s="419"/>
      <c r="B17" s="415"/>
      <c r="C17" s="415">
        <f>B18-B16</f>
        <v>18.7</v>
      </c>
      <c r="D17" s="410"/>
      <c r="E17" s="410">
        <f>SUM(0.5*D16,0.5*D18)</f>
        <v>1.35</v>
      </c>
      <c r="F17" s="410">
        <f>PRODUCT(C17,E17)</f>
        <v>25.25</v>
      </c>
      <c r="G17" s="486"/>
    </row>
    <row r="18" spans="1:10" ht="12" customHeight="1" x14ac:dyDescent="0.2">
      <c r="A18" s="419"/>
      <c r="B18" s="415">
        <v>830</v>
      </c>
      <c r="C18" s="415"/>
      <c r="D18" s="410">
        <v>1.35</v>
      </c>
      <c r="E18" s="410"/>
      <c r="F18" s="410"/>
      <c r="G18" s="486"/>
    </row>
    <row r="19" spans="1:10" ht="12" customHeight="1" x14ac:dyDescent="0.2">
      <c r="A19" s="419"/>
      <c r="B19" s="415"/>
      <c r="C19" s="415">
        <f>B20-B18</f>
        <v>31.6</v>
      </c>
      <c r="D19" s="410"/>
      <c r="E19" s="410">
        <f>SUM(0.5*D18,0.5*D20)</f>
        <v>1.35</v>
      </c>
      <c r="F19" s="410">
        <f>PRODUCT(C19,E19)</f>
        <v>42.66</v>
      </c>
      <c r="G19" s="486"/>
    </row>
    <row r="20" spans="1:10" ht="12" customHeight="1" x14ac:dyDescent="0.2">
      <c r="A20" s="419"/>
      <c r="B20" s="415">
        <v>861.6</v>
      </c>
      <c r="C20" s="415"/>
      <c r="D20" s="410">
        <v>1.35</v>
      </c>
      <c r="E20" s="410"/>
      <c r="F20" s="410"/>
      <c r="G20" s="486"/>
    </row>
    <row r="21" spans="1:10" ht="12" customHeight="1" x14ac:dyDescent="0.2">
      <c r="A21" s="419"/>
      <c r="B21" s="415"/>
      <c r="C21" s="415">
        <f>B22-B20</f>
        <v>18.399999999999999</v>
      </c>
      <c r="D21" s="410"/>
      <c r="E21" s="410">
        <f>SUM(0.5*D20,0.5*D22)</f>
        <v>1.35</v>
      </c>
      <c r="F21" s="410">
        <f>PRODUCT(C21,E21)</f>
        <v>24.84</v>
      </c>
      <c r="G21" s="486"/>
    </row>
    <row r="22" spans="1:10" ht="12" customHeight="1" x14ac:dyDescent="0.2">
      <c r="A22" s="419"/>
      <c r="B22" s="415">
        <v>880</v>
      </c>
      <c r="C22" s="415"/>
      <c r="D22" s="410">
        <v>1.35</v>
      </c>
      <c r="E22" s="410"/>
      <c r="F22" s="410"/>
      <c r="G22" s="486"/>
    </row>
    <row r="23" spans="1:10" ht="12" customHeight="1" x14ac:dyDescent="0.2">
      <c r="A23" s="419"/>
      <c r="B23" s="415"/>
      <c r="C23" s="415">
        <f>B24-B22</f>
        <v>23.7</v>
      </c>
      <c r="D23" s="410"/>
      <c r="E23" s="410">
        <f>SUM(0.5*D22,0.5*D24)</f>
        <v>1.35</v>
      </c>
      <c r="F23" s="410">
        <f>PRODUCT(C23,E23)</f>
        <v>32</v>
      </c>
      <c r="G23" s="486"/>
    </row>
    <row r="24" spans="1:10" ht="12" customHeight="1" x14ac:dyDescent="0.2">
      <c r="A24" s="419"/>
      <c r="B24" s="415">
        <v>903.7</v>
      </c>
      <c r="C24" s="415"/>
      <c r="D24" s="410">
        <v>1.35</v>
      </c>
      <c r="E24" s="410"/>
      <c r="F24" s="410"/>
      <c r="G24" s="486"/>
    </row>
    <row r="25" spans="1:10" ht="12" customHeight="1" x14ac:dyDescent="0.2">
      <c r="A25" s="419"/>
      <c r="B25" s="415"/>
      <c r="C25" s="415">
        <f>B26-B24</f>
        <v>34.299999999999997</v>
      </c>
      <c r="D25" s="410"/>
      <c r="E25" s="410">
        <f>SUM(0.5*D24,0.5*D26)</f>
        <v>1.78</v>
      </c>
      <c r="F25" s="410">
        <f>PRODUCT(C25,E25)</f>
        <v>61.05</v>
      </c>
      <c r="G25" s="486"/>
    </row>
    <row r="26" spans="1:10" ht="12" customHeight="1" x14ac:dyDescent="0.2">
      <c r="A26" s="419"/>
      <c r="B26" s="415">
        <v>938</v>
      </c>
      <c r="C26" s="415"/>
      <c r="D26" s="410">
        <v>2.2000000000000002</v>
      </c>
      <c r="E26" s="410"/>
      <c r="F26" s="410"/>
      <c r="G26" s="486"/>
    </row>
    <row r="27" spans="1:10" ht="12" customHeight="1" x14ac:dyDescent="0.2">
      <c r="A27" s="419"/>
      <c r="B27" s="415"/>
      <c r="C27" s="30" t="s">
        <v>2</v>
      </c>
      <c r="D27" s="418"/>
      <c r="E27" s="57" t="s">
        <v>2</v>
      </c>
      <c r="F27" s="57" t="s">
        <v>2</v>
      </c>
      <c r="G27" s="486"/>
    </row>
    <row r="28" spans="1:10" ht="12" customHeight="1" x14ac:dyDescent="0.2">
      <c r="A28" s="61"/>
      <c r="B28" s="63"/>
      <c r="C28" s="63"/>
      <c r="D28" s="416" t="s">
        <v>37</v>
      </c>
      <c r="E28" s="416"/>
      <c r="F28" s="417">
        <f>SUM(F13:F26)</f>
        <v>226.45</v>
      </c>
      <c r="G28" s="449"/>
    </row>
    <row r="29" spans="1:10" ht="12" customHeight="1" x14ac:dyDescent="0.2">
      <c r="A29" s="64"/>
      <c r="B29" s="65"/>
      <c r="C29" s="65"/>
      <c r="D29" s="416"/>
      <c r="E29" s="416"/>
      <c r="F29" s="417"/>
      <c r="G29" s="449"/>
    </row>
    <row r="30" spans="1:10" ht="12" customHeight="1" x14ac:dyDescent="0.2">
      <c r="A30" s="76"/>
      <c r="B30" s="72"/>
      <c r="C30" s="72"/>
      <c r="D30" s="67"/>
      <c r="E30" s="67"/>
      <c r="F30" s="68"/>
      <c r="G30" s="486"/>
    </row>
    <row r="31" spans="1:10" ht="12" customHeight="1" x14ac:dyDescent="0.2">
      <c r="A31" s="424" t="s">
        <v>36</v>
      </c>
      <c r="B31" s="425"/>
      <c r="C31" s="425"/>
      <c r="D31" s="425"/>
      <c r="E31" s="425"/>
      <c r="F31" s="426"/>
      <c r="G31" s="486"/>
    </row>
    <row r="32" spans="1:10" ht="12" customHeight="1" x14ac:dyDescent="0.2">
      <c r="A32" s="411" t="s">
        <v>29</v>
      </c>
      <c r="B32" s="411" t="s">
        <v>30</v>
      </c>
      <c r="C32" s="411" t="s">
        <v>31</v>
      </c>
      <c r="D32" s="413" t="s">
        <v>91</v>
      </c>
      <c r="E32" s="413"/>
      <c r="F32" s="413"/>
      <c r="J32" s="36"/>
    </row>
    <row r="33" spans="1:10" ht="12" customHeight="1" x14ac:dyDescent="0.2">
      <c r="A33" s="412"/>
      <c r="B33" s="412"/>
      <c r="C33" s="411"/>
      <c r="D33" s="411" t="s">
        <v>33</v>
      </c>
      <c r="E33" s="411" t="s">
        <v>34</v>
      </c>
      <c r="F33" s="411" t="s">
        <v>35</v>
      </c>
      <c r="J33" s="36"/>
    </row>
    <row r="34" spans="1:10" ht="12" customHeight="1" x14ac:dyDescent="0.2">
      <c r="A34" s="412"/>
      <c r="B34" s="412"/>
      <c r="C34" s="411"/>
      <c r="D34" s="411"/>
      <c r="E34" s="411"/>
      <c r="F34" s="411"/>
      <c r="H34" s="36"/>
    </row>
    <row r="35" spans="1:10" ht="12" customHeight="1" x14ac:dyDescent="0.2">
      <c r="A35" s="412"/>
      <c r="B35" s="412"/>
      <c r="C35" s="411"/>
      <c r="D35" s="411"/>
      <c r="E35" s="411"/>
      <c r="F35" s="411"/>
    </row>
    <row r="36" spans="1:10" x14ac:dyDescent="0.2">
      <c r="A36" s="419">
        <v>0</v>
      </c>
      <c r="B36" s="433">
        <v>12</v>
      </c>
      <c r="C36" s="32" t="s">
        <v>2</v>
      </c>
      <c r="D36" s="434">
        <v>2</v>
      </c>
      <c r="E36" s="33" t="s">
        <v>2</v>
      </c>
      <c r="F36" s="33" t="s">
        <v>2</v>
      </c>
    </row>
    <row r="37" spans="1:10" x14ac:dyDescent="0.2">
      <c r="A37" s="419"/>
      <c r="B37" s="415"/>
      <c r="C37" s="415">
        <f>B38-B36</f>
        <v>5.7</v>
      </c>
      <c r="D37" s="418"/>
      <c r="E37" s="410">
        <f>SUM(0.5*D36,0.5*D38)</f>
        <v>1.45</v>
      </c>
      <c r="F37" s="410">
        <f>PRODUCT(C37,E37)</f>
        <v>8.27</v>
      </c>
    </row>
    <row r="38" spans="1:10" x14ac:dyDescent="0.2">
      <c r="A38" s="419"/>
      <c r="B38" s="415">
        <v>17.7</v>
      </c>
      <c r="C38" s="415"/>
      <c r="D38" s="410">
        <v>0.9</v>
      </c>
      <c r="E38" s="410"/>
      <c r="F38" s="410"/>
    </row>
    <row r="39" spans="1:10" x14ac:dyDescent="0.2">
      <c r="A39" s="419"/>
      <c r="B39" s="415"/>
      <c r="C39" s="408">
        <f>B40-B38</f>
        <v>17.3</v>
      </c>
      <c r="D39" s="418"/>
      <c r="E39" s="410">
        <f>SUM(0.5*D38,0.5*D40)</f>
        <v>0.9</v>
      </c>
      <c r="F39" s="410">
        <f>PRODUCT(C39,E39)</f>
        <v>15.57</v>
      </c>
    </row>
    <row r="40" spans="1:10" x14ac:dyDescent="0.2">
      <c r="A40" s="419"/>
      <c r="B40" s="415">
        <v>35</v>
      </c>
      <c r="C40" s="409"/>
      <c r="D40" s="410">
        <v>0.9</v>
      </c>
      <c r="E40" s="410"/>
      <c r="F40" s="410"/>
    </row>
    <row r="41" spans="1:10" x14ac:dyDescent="0.2">
      <c r="A41" s="419"/>
      <c r="B41" s="415"/>
      <c r="C41" s="408">
        <f>B42-B40</f>
        <v>17</v>
      </c>
      <c r="D41" s="418"/>
      <c r="E41" s="410">
        <f>SUM(0.5*D40,0.5*D42)</f>
        <v>0.45</v>
      </c>
      <c r="F41" s="410">
        <f>PRODUCT(C41,E41)</f>
        <v>7.65</v>
      </c>
    </row>
    <row r="42" spans="1:10" x14ac:dyDescent="0.2">
      <c r="A42" s="419"/>
      <c r="B42" s="415">
        <v>52</v>
      </c>
      <c r="C42" s="409"/>
      <c r="D42" s="410">
        <v>0</v>
      </c>
      <c r="E42" s="410"/>
      <c r="F42" s="410"/>
    </row>
    <row r="43" spans="1:10" ht="13.5" thickBot="1" x14ac:dyDescent="0.25">
      <c r="A43" s="419"/>
      <c r="B43" s="415"/>
      <c r="C43" s="30" t="s">
        <v>2</v>
      </c>
      <c r="D43" s="410"/>
      <c r="E43" s="31" t="s">
        <v>2</v>
      </c>
      <c r="F43" s="31" t="s">
        <v>2</v>
      </c>
    </row>
    <row r="44" spans="1:10" x14ac:dyDescent="0.2">
      <c r="D44" s="490" t="s">
        <v>37</v>
      </c>
      <c r="E44" s="491"/>
      <c r="F44" s="494">
        <f>SUM(F37:F43)</f>
        <v>31.49</v>
      </c>
    </row>
    <row r="45" spans="1:10" ht="13.5" customHeight="1" thickBot="1" x14ac:dyDescent="0.25">
      <c r="C45" s="26"/>
      <c r="D45" s="492"/>
      <c r="E45" s="493"/>
      <c r="F45" s="495"/>
    </row>
  </sheetData>
  <mergeCells count="89">
    <mergeCell ref="E1:G1"/>
    <mergeCell ref="H2:I2"/>
    <mergeCell ref="A3:F4"/>
    <mergeCell ref="A5:F6"/>
    <mergeCell ref="A7:F7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B16:B17"/>
    <mergeCell ref="D16:D17"/>
    <mergeCell ref="C17:C18"/>
    <mergeCell ref="E17:E18"/>
    <mergeCell ref="B14:B15"/>
    <mergeCell ref="D14:D15"/>
    <mergeCell ref="C15:C16"/>
    <mergeCell ref="E15:E16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D22:D23"/>
    <mergeCell ref="C23:C24"/>
    <mergeCell ref="E23:E24"/>
    <mergeCell ref="F23:F24"/>
    <mergeCell ref="G23:G24"/>
    <mergeCell ref="G25:G26"/>
    <mergeCell ref="B26:B27"/>
    <mergeCell ref="D26:D27"/>
    <mergeCell ref="G27:G31"/>
    <mergeCell ref="A31:F31"/>
    <mergeCell ref="B24:B25"/>
    <mergeCell ref="D24:D25"/>
    <mergeCell ref="C25:C26"/>
    <mergeCell ref="E25:E26"/>
    <mergeCell ref="F25:F26"/>
    <mergeCell ref="A32:A35"/>
    <mergeCell ref="B32:B35"/>
    <mergeCell ref="C32:C35"/>
    <mergeCell ref="D32:F32"/>
    <mergeCell ref="D33:D35"/>
    <mergeCell ref="E33:E35"/>
    <mergeCell ref="F33:F35"/>
    <mergeCell ref="B42:B43"/>
    <mergeCell ref="D42:D43"/>
    <mergeCell ref="D28:E29"/>
    <mergeCell ref="F28:F29"/>
    <mergeCell ref="A36:A43"/>
    <mergeCell ref="B36:B37"/>
    <mergeCell ref="D36:D37"/>
    <mergeCell ref="C37:C38"/>
    <mergeCell ref="E37:E38"/>
    <mergeCell ref="B38:B39"/>
    <mergeCell ref="D38:D39"/>
    <mergeCell ref="C39:C40"/>
    <mergeCell ref="E39:E40"/>
    <mergeCell ref="B40:B41"/>
    <mergeCell ref="D40:D41"/>
    <mergeCell ref="C41:C42"/>
    <mergeCell ref="D44:E45"/>
    <mergeCell ref="F44:F45"/>
    <mergeCell ref="F39:F40"/>
    <mergeCell ref="F37:F38"/>
    <mergeCell ref="F41:F42"/>
    <mergeCell ref="E41:E4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45"/>
  <sheetViews>
    <sheetView workbookViewId="0"/>
  </sheetViews>
  <sheetFormatPr defaultRowHeight="12.75" x14ac:dyDescent="0.2"/>
  <cols>
    <col min="4" max="4" width="11.5703125" customWidth="1"/>
    <col min="5" max="5" width="11" customWidth="1"/>
    <col min="6" max="6" width="12" customWidth="1"/>
  </cols>
  <sheetData>
    <row r="1" spans="1:9" ht="18.75" customHeight="1" x14ac:dyDescent="0.2">
      <c r="E1" s="487" t="s">
        <v>92</v>
      </c>
      <c r="F1" s="487"/>
      <c r="G1" s="487"/>
    </row>
    <row r="2" spans="1:9" x14ac:dyDescent="0.2">
      <c r="H2" s="488"/>
      <c r="I2" s="488"/>
    </row>
    <row r="3" spans="1:9" ht="12.75" customHeight="1" x14ac:dyDescent="0.2">
      <c r="A3" s="489" t="s">
        <v>93</v>
      </c>
      <c r="B3" s="489"/>
      <c r="C3" s="489"/>
      <c r="D3" s="489"/>
      <c r="E3" s="489"/>
      <c r="F3" s="489"/>
      <c r="G3" s="56"/>
      <c r="H3" s="56"/>
      <c r="I3" s="56"/>
    </row>
    <row r="4" spans="1:9" ht="30.75" customHeight="1" x14ac:dyDescent="0.2">
      <c r="A4" s="489"/>
      <c r="B4" s="489"/>
      <c r="C4" s="489"/>
      <c r="D4" s="489"/>
      <c r="E4" s="489"/>
      <c r="F4" s="489"/>
      <c r="G4" s="56"/>
      <c r="H4" s="56"/>
      <c r="I4" s="56"/>
    </row>
    <row r="5" spans="1:9" ht="12.75" customHeight="1" x14ac:dyDescent="0.2">
      <c r="A5" s="423" t="s">
        <v>96</v>
      </c>
      <c r="B5" s="423"/>
      <c r="C5" s="423"/>
      <c r="D5" s="423"/>
      <c r="E5" s="423"/>
      <c r="F5" s="423"/>
      <c r="G5" s="56"/>
      <c r="H5" s="56"/>
      <c r="I5" s="56"/>
    </row>
    <row r="6" spans="1:9" ht="63.75" customHeight="1" x14ac:dyDescent="0.2">
      <c r="A6" s="423"/>
      <c r="B6" s="423"/>
      <c r="C6" s="423"/>
      <c r="D6" s="423"/>
      <c r="E6" s="423"/>
      <c r="F6" s="423"/>
      <c r="G6" s="28"/>
      <c r="H6" s="28"/>
      <c r="I6" s="28"/>
    </row>
    <row r="7" spans="1:9" ht="12.75" customHeight="1" x14ac:dyDescent="0.2">
      <c r="A7" s="424" t="s">
        <v>28</v>
      </c>
      <c r="B7" s="425"/>
      <c r="C7" s="425"/>
      <c r="D7" s="425"/>
      <c r="E7" s="425"/>
      <c r="F7" s="426"/>
    </row>
    <row r="8" spans="1:9" ht="12.75" customHeight="1" x14ac:dyDescent="0.2">
      <c r="A8" s="411" t="s">
        <v>29</v>
      </c>
      <c r="B8" s="411" t="s">
        <v>30</v>
      </c>
      <c r="C8" s="411" t="s">
        <v>31</v>
      </c>
      <c r="D8" s="413" t="s">
        <v>94</v>
      </c>
      <c r="E8" s="413"/>
      <c r="F8" s="413"/>
    </row>
    <row r="9" spans="1:9" x14ac:dyDescent="0.2">
      <c r="A9" s="412"/>
      <c r="B9" s="412"/>
      <c r="C9" s="411"/>
      <c r="D9" s="411" t="s">
        <v>33</v>
      </c>
      <c r="E9" s="411" t="s">
        <v>34</v>
      </c>
      <c r="F9" s="411" t="s">
        <v>35</v>
      </c>
    </row>
    <row r="10" spans="1:9" x14ac:dyDescent="0.2">
      <c r="A10" s="412"/>
      <c r="B10" s="412"/>
      <c r="C10" s="411"/>
      <c r="D10" s="411"/>
      <c r="E10" s="411"/>
      <c r="F10" s="411"/>
    </row>
    <row r="11" spans="1:9" ht="12" customHeight="1" x14ac:dyDescent="0.2">
      <c r="A11" s="412"/>
      <c r="B11" s="412"/>
      <c r="C11" s="411"/>
      <c r="D11" s="411"/>
      <c r="E11" s="411"/>
      <c r="F11" s="411"/>
      <c r="G11" s="486"/>
    </row>
    <row r="12" spans="1:9" ht="12" customHeight="1" x14ac:dyDescent="0.2">
      <c r="A12" s="419">
        <v>13</v>
      </c>
      <c r="B12" s="415">
        <v>780</v>
      </c>
      <c r="C12" s="30" t="s">
        <v>2</v>
      </c>
      <c r="D12" s="410">
        <v>0</v>
      </c>
      <c r="E12" s="31" t="s">
        <v>2</v>
      </c>
      <c r="F12" s="31" t="s">
        <v>2</v>
      </c>
      <c r="G12" s="486"/>
    </row>
    <row r="13" spans="1:9" ht="12" customHeight="1" x14ac:dyDescent="0.2">
      <c r="A13" s="419"/>
      <c r="B13" s="415"/>
      <c r="C13" s="415">
        <f>B14-B12</f>
        <v>2.4</v>
      </c>
      <c r="D13" s="410"/>
      <c r="E13" s="410">
        <f>SUM(0.5*D12,0.5*D14)</f>
        <v>0.71</v>
      </c>
      <c r="F13" s="410">
        <f>PRODUCT(C13,E13)</f>
        <v>1.7</v>
      </c>
      <c r="G13" s="486"/>
    </row>
    <row r="14" spans="1:9" ht="12" customHeight="1" x14ac:dyDescent="0.2">
      <c r="A14" s="419"/>
      <c r="B14" s="415">
        <v>782.4</v>
      </c>
      <c r="C14" s="415"/>
      <c r="D14" s="418">
        <v>1.42</v>
      </c>
      <c r="E14" s="410"/>
      <c r="F14" s="410"/>
      <c r="G14" s="486"/>
    </row>
    <row r="15" spans="1:9" ht="12" customHeight="1" x14ac:dyDescent="0.2">
      <c r="A15" s="419"/>
      <c r="B15" s="415"/>
      <c r="C15" s="415">
        <f>B16-B14</f>
        <v>28.9</v>
      </c>
      <c r="D15" s="434"/>
      <c r="E15" s="410">
        <f>SUM(0.5*D14,0.5*D16)</f>
        <v>1.42</v>
      </c>
      <c r="F15" s="410">
        <f>PRODUCT(C15,E15)</f>
        <v>41.04</v>
      </c>
      <c r="G15" s="486"/>
    </row>
    <row r="16" spans="1:9" ht="12" customHeight="1" x14ac:dyDescent="0.2">
      <c r="A16" s="419"/>
      <c r="B16" s="415">
        <v>811.3</v>
      </c>
      <c r="C16" s="415"/>
      <c r="D16" s="418">
        <v>1.42</v>
      </c>
      <c r="E16" s="410"/>
      <c r="F16" s="410"/>
      <c r="G16" s="486"/>
    </row>
    <row r="17" spans="1:10" ht="12" customHeight="1" x14ac:dyDescent="0.2">
      <c r="A17" s="419"/>
      <c r="B17" s="415"/>
      <c r="C17" s="415">
        <f>B18-B16</f>
        <v>18.7</v>
      </c>
      <c r="D17" s="434"/>
      <c r="E17" s="410">
        <f>SUM(0.5*D16,0.5*D18)</f>
        <v>1.42</v>
      </c>
      <c r="F17" s="410">
        <f>PRODUCT(C17,E17)</f>
        <v>26.55</v>
      </c>
      <c r="G17" s="486"/>
    </row>
    <row r="18" spans="1:10" ht="12" customHeight="1" x14ac:dyDescent="0.2">
      <c r="A18" s="419"/>
      <c r="B18" s="415">
        <v>830</v>
      </c>
      <c r="C18" s="415"/>
      <c r="D18" s="418">
        <v>1.42</v>
      </c>
      <c r="E18" s="410"/>
      <c r="F18" s="410"/>
      <c r="G18" s="486"/>
    </row>
    <row r="19" spans="1:10" ht="12" customHeight="1" x14ac:dyDescent="0.2">
      <c r="A19" s="419"/>
      <c r="B19" s="415"/>
      <c r="C19" s="415">
        <f>B20-B18</f>
        <v>31.6</v>
      </c>
      <c r="D19" s="434"/>
      <c r="E19" s="410">
        <f>SUM(0.5*D18,0.5*D20)</f>
        <v>1.42</v>
      </c>
      <c r="F19" s="410">
        <f>PRODUCT(C19,E19)</f>
        <v>44.87</v>
      </c>
      <c r="G19" s="486"/>
    </row>
    <row r="20" spans="1:10" ht="12" customHeight="1" x14ac:dyDescent="0.2">
      <c r="A20" s="419"/>
      <c r="B20" s="415">
        <v>861.6</v>
      </c>
      <c r="C20" s="415"/>
      <c r="D20" s="418">
        <v>1.42</v>
      </c>
      <c r="E20" s="410"/>
      <c r="F20" s="410"/>
      <c r="G20" s="486"/>
    </row>
    <row r="21" spans="1:10" ht="12" customHeight="1" x14ac:dyDescent="0.2">
      <c r="A21" s="419"/>
      <c r="B21" s="415"/>
      <c r="C21" s="415">
        <f>B22-B20</f>
        <v>18.399999999999999</v>
      </c>
      <c r="D21" s="434"/>
      <c r="E21" s="410">
        <f>SUM(0.5*D20,0.5*D22)</f>
        <v>1.42</v>
      </c>
      <c r="F21" s="410">
        <f>PRODUCT(C21,E21)</f>
        <v>26.13</v>
      </c>
      <c r="G21" s="486"/>
    </row>
    <row r="22" spans="1:10" ht="12" customHeight="1" x14ac:dyDescent="0.2">
      <c r="A22" s="419"/>
      <c r="B22" s="415">
        <v>880</v>
      </c>
      <c r="C22" s="415"/>
      <c r="D22" s="418">
        <v>1.42</v>
      </c>
      <c r="E22" s="410"/>
      <c r="F22" s="410"/>
      <c r="G22" s="486"/>
    </row>
    <row r="23" spans="1:10" ht="12" customHeight="1" x14ac:dyDescent="0.2">
      <c r="A23" s="419"/>
      <c r="B23" s="415"/>
      <c r="C23" s="415">
        <f>B24-B22</f>
        <v>23.7</v>
      </c>
      <c r="D23" s="434"/>
      <c r="E23" s="410">
        <f>SUM(0.5*D22,0.5*D24)</f>
        <v>1.42</v>
      </c>
      <c r="F23" s="410">
        <f>PRODUCT(C23,E23)</f>
        <v>33.65</v>
      </c>
      <c r="G23" s="486"/>
    </row>
    <row r="24" spans="1:10" ht="12" customHeight="1" x14ac:dyDescent="0.2">
      <c r="A24" s="419"/>
      <c r="B24" s="415">
        <v>903.7</v>
      </c>
      <c r="C24" s="415"/>
      <c r="D24" s="418">
        <v>1.42</v>
      </c>
      <c r="E24" s="410"/>
      <c r="F24" s="410"/>
      <c r="G24" s="486"/>
    </row>
    <row r="25" spans="1:10" ht="12" customHeight="1" x14ac:dyDescent="0.2">
      <c r="A25" s="419"/>
      <c r="B25" s="415"/>
      <c r="C25" s="415">
        <f>B26-B24</f>
        <v>34.299999999999997</v>
      </c>
      <c r="D25" s="434"/>
      <c r="E25" s="410">
        <f>SUM(0.5*D24,0.5*D26)</f>
        <v>1.94</v>
      </c>
      <c r="F25" s="410">
        <f>PRODUCT(C25,E25)</f>
        <v>66.540000000000006</v>
      </c>
      <c r="G25" s="486"/>
    </row>
    <row r="26" spans="1:10" ht="12" customHeight="1" x14ac:dyDescent="0.2">
      <c r="A26" s="419"/>
      <c r="B26" s="415">
        <v>938</v>
      </c>
      <c r="C26" s="415"/>
      <c r="D26" s="410">
        <v>2.4500000000000002</v>
      </c>
      <c r="E26" s="410"/>
      <c r="F26" s="410"/>
      <c r="G26" s="486"/>
    </row>
    <row r="27" spans="1:10" ht="12" customHeight="1" x14ac:dyDescent="0.2">
      <c r="A27" s="419"/>
      <c r="B27" s="415"/>
      <c r="C27" s="30" t="s">
        <v>2</v>
      </c>
      <c r="D27" s="418"/>
      <c r="E27" s="31" t="s">
        <v>2</v>
      </c>
      <c r="F27" s="31" t="s">
        <v>2</v>
      </c>
      <c r="G27" s="486"/>
    </row>
    <row r="28" spans="1:10" ht="12" customHeight="1" x14ac:dyDescent="0.2">
      <c r="A28" s="61"/>
      <c r="B28" s="63"/>
      <c r="C28" s="63"/>
      <c r="D28" s="416" t="s">
        <v>37</v>
      </c>
      <c r="E28" s="416"/>
      <c r="F28" s="417">
        <f>SUM(F13:F26)</f>
        <v>240.48</v>
      </c>
      <c r="G28" s="449"/>
    </row>
    <row r="29" spans="1:10" ht="12" customHeight="1" x14ac:dyDescent="0.2">
      <c r="A29" s="64"/>
      <c r="B29" s="65"/>
      <c r="C29" s="65"/>
      <c r="D29" s="416"/>
      <c r="E29" s="416"/>
      <c r="F29" s="417"/>
      <c r="G29" s="449"/>
    </row>
    <row r="30" spans="1:10" ht="12" customHeight="1" x14ac:dyDescent="0.2">
      <c r="A30" s="71"/>
      <c r="B30" s="72"/>
      <c r="C30" s="72"/>
      <c r="D30" s="73"/>
      <c r="E30" s="73"/>
      <c r="F30" s="73"/>
      <c r="G30" s="449"/>
    </row>
    <row r="31" spans="1:10" ht="12" customHeight="1" x14ac:dyDescent="0.2">
      <c r="A31" s="424" t="s">
        <v>36</v>
      </c>
      <c r="B31" s="425"/>
      <c r="C31" s="425"/>
      <c r="D31" s="425"/>
      <c r="E31" s="425"/>
      <c r="F31" s="426"/>
      <c r="G31" s="486"/>
    </row>
    <row r="32" spans="1:10" ht="12" customHeight="1" x14ac:dyDescent="0.2">
      <c r="A32" s="411" t="s">
        <v>29</v>
      </c>
      <c r="B32" s="411" t="s">
        <v>30</v>
      </c>
      <c r="C32" s="411" t="s">
        <v>31</v>
      </c>
      <c r="D32" s="413" t="s">
        <v>94</v>
      </c>
      <c r="E32" s="413"/>
      <c r="F32" s="413"/>
      <c r="J32" s="36"/>
    </row>
    <row r="33" spans="1:10" ht="12" customHeight="1" x14ac:dyDescent="0.2">
      <c r="A33" s="412"/>
      <c r="B33" s="412"/>
      <c r="C33" s="411"/>
      <c r="D33" s="411" t="s">
        <v>33</v>
      </c>
      <c r="E33" s="411" t="s">
        <v>34</v>
      </c>
      <c r="F33" s="411" t="s">
        <v>35</v>
      </c>
      <c r="J33" s="36"/>
    </row>
    <row r="34" spans="1:10" ht="12" customHeight="1" x14ac:dyDescent="0.2">
      <c r="A34" s="412"/>
      <c r="B34" s="412"/>
      <c r="C34" s="411"/>
      <c r="D34" s="411"/>
      <c r="E34" s="411"/>
      <c r="F34" s="411"/>
      <c r="H34" s="36"/>
    </row>
    <row r="35" spans="1:10" ht="12" customHeight="1" x14ac:dyDescent="0.2">
      <c r="A35" s="412"/>
      <c r="B35" s="412"/>
      <c r="C35" s="411"/>
      <c r="D35" s="411"/>
      <c r="E35" s="411"/>
      <c r="F35" s="411"/>
    </row>
    <row r="36" spans="1:10" x14ac:dyDescent="0.2">
      <c r="A36" s="419">
        <v>0</v>
      </c>
      <c r="B36" s="433">
        <v>12</v>
      </c>
      <c r="C36" s="32" t="s">
        <v>2</v>
      </c>
      <c r="D36" s="434">
        <v>2.2000000000000002</v>
      </c>
      <c r="E36" s="33" t="s">
        <v>2</v>
      </c>
      <c r="F36" s="33" t="s">
        <v>2</v>
      </c>
    </row>
    <row r="37" spans="1:10" x14ac:dyDescent="0.2">
      <c r="A37" s="419"/>
      <c r="B37" s="415"/>
      <c r="C37" s="415">
        <f>B38-B36</f>
        <v>5.7</v>
      </c>
      <c r="D37" s="418"/>
      <c r="E37" s="410">
        <f>SUM(0.5*D36,0.5*D38)</f>
        <v>1.6</v>
      </c>
      <c r="F37" s="410">
        <f>PRODUCT(C37,E37)</f>
        <v>9.1199999999999992</v>
      </c>
    </row>
    <row r="38" spans="1:10" x14ac:dyDescent="0.2">
      <c r="A38" s="419"/>
      <c r="B38" s="415">
        <v>17.7</v>
      </c>
      <c r="C38" s="415"/>
      <c r="D38" s="410">
        <v>1</v>
      </c>
      <c r="E38" s="410"/>
      <c r="F38" s="410"/>
    </row>
    <row r="39" spans="1:10" x14ac:dyDescent="0.2">
      <c r="A39" s="419"/>
      <c r="B39" s="415"/>
      <c r="C39" s="408">
        <f>B40-B38</f>
        <v>17.3</v>
      </c>
      <c r="D39" s="418"/>
      <c r="E39" s="410">
        <f>SUM(0.5*D38,0.5*D40)</f>
        <v>1</v>
      </c>
      <c r="F39" s="410">
        <f>PRODUCT(C39,E39)</f>
        <v>17.3</v>
      </c>
    </row>
    <row r="40" spans="1:10" x14ac:dyDescent="0.2">
      <c r="A40" s="419"/>
      <c r="B40" s="415">
        <v>35</v>
      </c>
      <c r="C40" s="409"/>
      <c r="D40" s="410">
        <v>1</v>
      </c>
      <c r="E40" s="410"/>
      <c r="F40" s="410"/>
    </row>
    <row r="41" spans="1:10" x14ac:dyDescent="0.2">
      <c r="A41" s="419"/>
      <c r="B41" s="415"/>
      <c r="C41" s="408">
        <f>B42-B40</f>
        <v>17</v>
      </c>
      <c r="D41" s="418"/>
      <c r="E41" s="410">
        <f>SUM(0.5*D40,0.5*D42)</f>
        <v>0.5</v>
      </c>
      <c r="F41" s="410">
        <f>PRODUCT(C41,E41)</f>
        <v>8.5</v>
      </c>
    </row>
    <row r="42" spans="1:10" x14ac:dyDescent="0.2">
      <c r="A42" s="419"/>
      <c r="B42" s="415">
        <v>52</v>
      </c>
      <c r="C42" s="409"/>
      <c r="D42" s="410">
        <v>0</v>
      </c>
      <c r="E42" s="410"/>
      <c r="F42" s="410"/>
    </row>
    <row r="43" spans="1:10" x14ac:dyDescent="0.2">
      <c r="A43" s="419"/>
      <c r="B43" s="415"/>
      <c r="C43" s="30" t="s">
        <v>2</v>
      </c>
      <c r="D43" s="418"/>
      <c r="E43" s="57" t="s">
        <v>2</v>
      </c>
      <c r="F43" s="57" t="s">
        <v>2</v>
      </c>
    </row>
    <row r="44" spans="1:10" x14ac:dyDescent="0.2">
      <c r="D44" s="416" t="s">
        <v>37</v>
      </c>
      <c r="E44" s="416"/>
      <c r="F44" s="417">
        <f>SUM(F37:F43)</f>
        <v>34.92</v>
      </c>
    </row>
    <row r="45" spans="1:10" ht="13.5" customHeight="1" x14ac:dyDescent="0.2">
      <c r="C45" s="26"/>
      <c r="D45" s="416"/>
      <c r="E45" s="416"/>
      <c r="F45" s="417"/>
    </row>
  </sheetData>
  <mergeCells count="89">
    <mergeCell ref="E1:G1"/>
    <mergeCell ref="H2:I2"/>
    <mergeCell ref="A3:F4"/>
    <mergeCell ref="A5:F6"/>
    <mergeCell ref="A7:F7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B16:B17"/>
    <mergeCell ref="D16:D17"/>
    <mergeCell ref="C17:C18"/>
    <mergeCell ref="E17:E18"/>
    <mergeCell ref="B14:B15"/>
    <mergeCell ref="D14:D15"/>
    <mergeCell ref="C15:C16"/>
    <mergeCell ref="E15:E16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D22:D23"/>
    <mergeCell ref="C23:C24"/>
    <mergeCell ref="E23:E24"/>
    <mergeCell ref="F23:F24"/>
    <mergeCell ref="G23:G24"/>
    <mergeCell ref="G25:G26"/>
    <mergeCell ref="B26:B27"/>
    <mergeCell ref="D26:D27"/>
    <mergeCell ref="G27:G31"/>
    <mergeCell ref="A31:F31"/>
    <mergeCell ref="B24:B25"/>
    <mergeCell ref="D24:D25"/>
    <mergeCell ref="C25:C26"/>
    <mergeCell ref="E25:E26"/>
    <mergeCell ref="F25:F26"/>
    <mergeCell ref="A32:A35"/>
    <mergeCell ref="B32:B35"/>
    <mergeCell ref="C32:C35"/>
    <mergeCell ref="D32:F32"/>
    <mergeCell ref="D33:D35"/>
    <mergeCell ref="E33:E35"/>
    <mergeCell ref="F33:F35"/>
    <mergeCell ref="B42:B43"/>
    <mergeCell ref="D42:D43"/>
    <mergeCell ref="D28:E29"/>
    <mergeCell ref="F28:F29"/>
    <mergeCell ref="A36:A43"/>
    <mergeCell ref="B36:B37"/>
    <mergeCell ref="D36:D37"/>
    <mergeCell ref="C37:C38"/>
    <mergeCell ref="E37:E38"/>
    <mergeCell ref="B38:B39"/>
    <mergeCell ref="D38:D39"/>
    <mergeCell ref="C39:C40"/>
    <mergeCell ref="E39:E40"/>
    <mergeCell ref="B40:B41"/>
    <mergeCell ref="D40:D41"/>
    <mergeCell ref="C41:C42"/>
    <mergeCell ref="D44:E45"/>
    <mergeCell ref="F44:F45"/>
    <mergeCell ref="F39:F40"/>
    <mergeCell ref="F37:F38"/>
    <mergeCell ref="F41:F42"/>
    <mergeCell ref="E41:E42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T160"/>
  <sheetViews>
    <sheetView tabSelected="1" view="pageBreakPreview" topLeftCell="A69" zoomScale="85" zoomScaleNormal="85" zoomScaleSheetLayoutView="85" workbookViewId="0">
      <selection activeCell="J144" sqref="J144"/>
    </sheetView>
  </sheetViews>
  <sheetFormatPr defaultRowHeight="15" x14ac:dyDescent="0.2"/>
  <cols>
    <col min="1" max="1" width="10.28515625" style="201" customWidth="1"/>
    <col min="2" max="2" width="23.42578125" style="202" customWidth="1"/>
    <col min="3" max="3" width="65.7109375" style="123" customWidth="1"/>
    <col min="4" max="4" width="10.42578125" style="168" customWidth="1"/>
    <col min="5" max="5" width="9.7109375" style="169" hidden="1" customWidth="1"/>
    <col min="6" max="6" width="20.140625" style="170" customWidth="1"/>
    <col min="7" max="8" width="14" style="166" customWidth="1"/>
    <col min="9" max="9" width="14" style="221" customWidth="1"/>
    <col min="10" max="10" width="19.7109375" style="221" customWidth="1"/>
    <col min="11" max="11" width="16.140625" style="166" customWidth="1"/>
    <col min="12" max="12" width="13.140625" style="117" customWidth="1"/>
    <col min="13" max="16384" width="9.140625" style="117"/>
  </cols>
  <sheetData>
    <row r="1" spans="1:11" s="115" customFormat="1" ht="29.25" customHeight="1" x14ac:dyDescent="0.2">
      <c r="A1" s="359" t="s">
        <v>435</v>
      </c>
      <c r="B1" s="359"/>
      <c r="C1" s="359"/>
      <c r="D1" s="359"/>
      <c r="E1" s="359"/>
      <c r="F1" s="359"/>
      <c r="G1" s="359"/>
      <c r="H1" s="359"/>
      <c r="I1" s="359"/>
      <c r="J1" s="359"/>
      <c r="K1" s="247"/>
    </row>
    <row r="2" spans="1:11" s="115" customFormat="1" ht="38.25" customHeight="1" x14ac:dyDescent="0.2">
      <c r="A2" s="360" t="s">
        <v>391</v>
      </c>
      <c r="B2" s="361"/>
      <c r="C2" s="361"/>
      <c r="D2" s="361"/>
      <c r="E2" s="361"/>
      <c r="F2" s="361"/>
      <c r="G2" s="361"/>
      <c r="H2" s="361"/>
      <c r="I2" s="361"/>
      <c r="J2" s="362"/>
      <c r="K2" s="248"/>
    </row>
    <row r="3" spans="1:11" ht="45" customHeight="1" x14ac:dyDescent="0.2">
      <c r="A3" s="191" t="s">
        <v>185</v>
      </c>
      <c r="B3" s="205" t="s">
        <v>290</v>
      </c>
      <c r="C3" s="363" t="s">
        <v>388</v>
      </c>
      <c r="D3" s="363"/>
      <c r="E3" s="363"/>
      <c r="F3" s="363"/>
      <c r="G3" s="127" t="s">
        <v>186</v>
      </c>
      <c r="H3" s="203" t="s">
        <v>187</v>
      </c>
      <c r="I3" s="219" t="s">
        <v>429</v>
      </c>
      <c r="J3" s="219" t="s">
        <v>430</v>
      </c>
      <c r="K3" s="249"/>
    </row>
    <row r="4" spans="1:11" ht="19.5" hidden="1" customHeight="1" x14ac:dyDescent="0.2">
      <c r="A4" s="200" t="s">
        <v>1</v>
      </c>
      <c r="B4" s="315" t="s">
        <v>22</v>
      </c>
      <c r="C4" s="315"/>
      <c r="D4" s="315"/>
      <c r="E4" s="315"/>
      <c r="F4" s="315"/>
      <c r="G4" s="315"/>
      <c r="H4" s="315"/>
      <c r="I4" s="315"/>
      <c r="J4" s="315"/>
      <c r="K4" s="250"/>
    </row>
    <row r="5" spans="1:11" ht="26.25" hidden="1" customHeight="1" x14ac:dyDescent="0.2">
      <c r="A5" s="198" t="s">
        <v>12</v>
      </c>
      <c r="B5" s="198" t="s">
        <v>188</v>
      </c>
      <c r="C5" s="320" t="s">
        <v>9</v>
      </c>
      <c r="D5" s="320"/>
      <c r="E5" s="320"/>
      <c r="F5" s="320"/>
      <c r="G5" s="320"/>
      <c r="H5" s="320"/>
      <c r="I5" s="320"/>
      <c r="J5" s="320"/>
      <c r="K5" s="251"/>
    </row>
    <row r="6" spans="1:11" ht="18.75" hidden="1" customHeight="1" x14ac:dyDescent="0.2">
      <c r="A6" s="171" t="s">
        <v>2</v>
      </c>
      <c r="B6" s="171" t="s">
        <v>189</v>
      </c>
      <c r="C6" s="321" t="s">
        <v>190</v>
      </c>
      <c r="D6" s="321"/>
      <c r="E6" s="321"/>
      <c r="F6" s="321"/>
      <c r="G6" s="321"/>
      <c r="H6" s="321"/>
      <c r="I6" s="321"/>
      <c r="J6" s="321"/>
      <c r="K6" s="252"/>
    </row>
    <row r="7" spans="1:11" ht="18.75" hidden="1" customHeight="1" x14ac:dyDescent="0.2">
      <c r="A7" s="191" t="s">
        <v>191</v>
      </c>
      <c r="B7" s="191" t="str">
        <f t="shared" ref="B7:B14" si="0">B6</f>
        <v>00.00.00</v>
      </c>
      <c r="C7" s="118" t="s">
        <v>192</v>
      </c>
      <c r="D7" s="119" t="s">
        <v>193</v>
      </c>
      <c r="E7" s="120">
        <v>1</v>
      </c>
      <c r="F7" s="120">
        <f t="shared" ref="F7:F14" si="1">E7</f>
        <v>1</v>
      </c>
      <c r="G7" s="121">
        <v>1000</v>
      </c>
      <c r="H7" s="121"/>
      <c r="I7" s="238"/>
      <c r="J7" s="238"/>
      <c r="K7" s="253"/>
    </row>
    <row r="8" spans="1:11" ht="40.5" hidden="1" customHeight="1" x14ac:dyDescent="0.2">
      <c r="A8" s="191" t="s">
        <v>194</v>
      </c>
      <c r="B8" s="191" t="str">
        <f t="shared" si="0"/>
        <v>00.00.00</v>
      </c>
      <c r="C8" s="118" t="s">
        <v>195</v>
      </c>
      <c r="D8" s="119" t="s">
        <v>193</v>
      </c>
      <c r="E8" s="120">
        <v>1</v>
      </c>
      <c r="F8" s="120">
        <f t="shared" si="1"/>
        <v>1</v>
      </c>
      <c r="G8" s="121">
        <v>780</v>
      </c>
      <c r="H8" s="121"/>
      <c r="I8" s="238"/>
      <c r="J8" s="238"/>
      <c r="K8" s="253"/>
    </row>
    <row r="9" spans="1:11" ht="31.5" hidden="1" customHeight="1" x14ac:dyDescent="0.2">
      <c r="A9" s="191" t="s">
        <v>196</v>
      </c>
      <c r="B9" s="191" t="str">
        <f t="shared" si="0"/>
        <v>00.00.00</v>
      </c>
      <c r="C9" s="118" t="s">
        <v>197</v>
      </c>
      <c r="D9" s="119" t="s">
        <v>193</v>
      </c>
      <c r="E9" s="120">
        <v>1</v>
      </c>
      <c r="F9" s="120">
        <f t="shared" si="1"/>
        <v>1</v>
      </c>
      <c r="G9" s="121">
        <v>500</v>
      </c>
      <c r="H9" s="121"/>
      <c r="I9" s="238"/>
      <c r="J9" s="238"/>
      <c r="K9" s="253"/>
    </row>
    <row r="10" spans="1:11" ht="38.25" hidden="1" customHeight="1" x14ac:dyDescent="0.2">
      <c r="A10" s="191" t="s">
        <v>198</v>
      </c>
      <c r="B10" s="191" t="str">
        <f t="shared" si="0"/>
        <v>00.00.00</v>
      </c>
      <c r="C10" s="118" t="s">
        <v>199</v>
      </c>
      <c r="D10" s="119" t="s">
        <v>193</v>
      </c>
      <c r="E10" s="120">
        <v>1</v>
      </c>
      <c r="F10" s="120">
        <f t="shared" si="1"/>
        <v>1</v>
      </c>
      <c r="G10" s="121">
        <v>1500</v>
      </c>
      <c r="H10" s="121"/>
      <c r="I10" s="238"/>
      <c r="J10" s="238"/>
      <c r="K10" s="253"/>
    </row>
    <row r="11" spans="1:11" ht="28.5" hidden="1" customHeight="1" x14ac:dyDescent="0.2">
      <c r="A11" s="191" t="s">
        <v>200</v>
      </c>
      <c r="B11" s="191" t="str">
        <f>B10</f>
        <v>00.00.00</v>
      </c>
      <c r="C11" s="118" t="s">
        <v>201</v>
      </c>
      <c r="D11" s="119" t="s">
        <v>193</v>
      </c>
      <c r="E11" s="120">
        <v>1</v>
      </c>
      <c r="F11" s="120">
        <f t="shared" si="1"/>
        <v>1</v>
      </c>
      <c r="G11" s="121">
        <v>1000</v>
      </c>
      <c r="H11" s="121"/>
      <c r="I11" s="238"/>
      <c r="J11" s="238"/>
      <c r="K11" s="253"/>
    </row>
    <row r="12" spans="1:11" ht="54" hidden="1" customHeight="1" x14ac:dyDescent="0.2">
      <c r="A12" s="191" t="s">
        <v>202</v>
      </c>
      <c r="B12" s="191" t="str">
        <f>B11</f>
        <v>00.00.00</v>
      </c>
      <c r="C12" s="118" t="s">
        <v>203</v>
      </c>
      <c r="D12" s="119" t="s">
        <v>193</v>
      </c>
      <c r="E12" s="120">
        <v>1</v>
      </c>
      <c r="F12" s="120">
        <f t="shared" si="1"/>
        <v>1</v>
      </c>
      <c r="G12" s="121">
        <v>1500</v>
      </c>
      <c r="H12" s="121"/>
      <c r="I12" s="238"/>
      <c r="J12" s="238"/>
      <c r="K12" s="253"/>
    </row>
    <row r="13" spans="1:11" ht="29.25" hidden="1" customHeight="1" x14ac:dyDescent="0.2">
      <c r="A13" s="191" t="s">
        <v>204</v>
      </c>
      <c r="B13" s="191" t="str">
        <f>B11</f>
        <v>00.00.00</v>
      </c>
      <c r="C13" s="122" t="s">
        <v>205</v>
      </c>
      <c r="D13" s="119" t="s">
        <v>193</v>
      </c>
      <c r="E13" s="120">
        <v>0</v>
      </c>
      <c r="F13" s="120">
        <f t="shared" si="1"/>
        <v>0</v>
      </c>
      <c r="G13" s="121"/>
      <c r="H13" s="121"/>
      <c r="I13" s="238"/>
      <c r="J13" s="238"/>
      <c r="K13" s="253"/>
    </row>
    <row r="14" spans="1:11" ht="85.5" hidden="1" customHeight="1" x14ac:dyDescent="0.2">
      <c r="A14" s="191" t="s">
        <v>204</v>
      </c>
      <c r="B14" s="191" t="str">
        <f t="shared" si="0"/>
        <v>00.00.00</v>
      </c>
      <c r="C14" s="118" t="s">
        <v>206</v>
      </c>
      <c r="D14" s="119" t="s">
        <v>193</v>
      </c>
      <c r="E14" s="120">
        <v>1</v>
      </c>
      <c r="F14" s="120">
        <f t="shared" si="1"/>
        <v>1</v>
      </c>
      <c r="G14" s="121">
        <v>5000</v>
      </c>
      <c r="H14" s="121"/>
      <c r="I14" s="238"/>
      <c r="J14" s="238"/>
      <c r="K14" s="253"/>
    </row>
    <row r="15" spans="1:11" ht="35.1" hidden="1" customHeight="1" x14ac:dyDescent="0.2">
      <c r="A15" s="358" t="s">
        <v>207</v>
      </c>
      <c r="B15" s="358"/>
      <c r="C15" s="358"/>
      <c r="D15" s="358"/>
      <c r="E15" s="358"/>
      <c r="F15" s="358"/>
      <c r="G15" s="358"/>
      <c r="H15" s="167"/>
      <c r="I15" s="224"/>
      <c r="J15" s="224"/>
      <c r="K15" s="172"/>
    </row>
    <row r="16" spans="1:11" ht="30.75" customHeight="1" x14ac:dyDescent="0.2">
      <c r="A16" s="200" t="s">
        <v>1</v>
      </c>
      <c r="B16" s="357" t="s">
        <v>392</v>
      </c>
      <c r="C16" s="357"/>
      <c r="D16" s="357"/>
      <c r="E16" s="357"/>
      <c r="F16" s="357"/>
      <c r="G16" s="357"/>
      <c r="H16" s="357"/>
      <c r="I16" s="357"/>
      <c r="J16" s="357"/>
      <c r="K16" s="254"/>
    </row>
    <row r="17" spans="1:11" s="124" customFormat="1" ht="38.25" customHeight="1" x14ac:dyDescent="0.2">
      <c r="A17" s="198" t="s">
        <v>12</v>
      </c>
      <c r="B17" s="174" t="s">
        <v>188</v>
      </c>
      <c r="C17" s="316" t="s">
        <v>9</v>
      </c>
      <c r="D17" s="316"/>
      <c r="E17" s="316"/>
      <c r="F17" s="316"/>
      <c r="G17" s="316"/>
      <c r="H17" s="316"/>
      <c r="I17" s="316"/>
      <c r="J17" s="316"/>
      <c r="K17" s="255"/>
    </row>
    <row r="18" spans="1:11" s="124" customFormat="1" ht="27" customHeight="1" x14ac:dyDescent="0.2">
      <c r="A18" s="171" t="s">
        <v>2</v>
      </c>
      <c r="B18" s="171" t="s">
        <v>189</v>
      </c>
      <c r="C18" s="321" t="s">
        <v>190</v>
      </c>
      <c r="D18" s="321"/>
      <c r="E18" s="321"/>
      <c r="F18" s="321"/>
      <c r="G18" s="321"/>
      <c r="H18" s="321"/>
      <c r="I18" s="321"/>
      <c r="J18" s="321"/>
      <c r="K18" s="252"/>
    </row>
    <row r="19" spans="1:11" s="124" customFormat="1" ht="27.75" customHeight="1" x14ac:dyDescent="0.2">
      <c r="A19" s="199" t="s">
        <v>191</v>
      </c>
      <c r="B19" s="191" t="str">
        <f>B18</f>
        <v>00.00.00</v>
      </c>
      <c r="C19" s="356" t="s">
        <v>332</v>
      </c>
      <c r="D19" s="356"/>
      <c r="E19" s="356"/>
      <c r="F19" s="356"/>
      <c r="G19" s="192" t="s">
        <v>193</v>
      </c>
      <c r="H19" s="173">
        <v>1</v>
      </c>
      <c r="I19" s="239">
        <v>0</v>
      </c>
      <c r="J19" s="219">
        <f>I19*H19</f>
        <v>0</v>
      </c>
      <c r="K19" s="256"/>
    </row>
    <row r="20" spans="1:11" s="124" customFormat="1" ht="45" customHeight="1" x14ac:dyDescent="0.2">
      <c r="A20" s="199" t="s">
        <v>194</v>
      </c>
      <c r="B20" s="191" t="str">
        <f>B19</f>
        <v>00.00.00</v>
      </c>
      <c r="C20" s="356" t="s">
        <v>333</v>
      </c>
      <c r="D20" s="356"/>
      <c r="E20" s="356"/>
      <c r="F20" s="356"/>
      <c r="G20" s="192" t="s">
        <v>193</v>
      </c>
      <c r="H20" s="173">
        <v>1</v>
      </c>
      <c r="I20" s="239">
        <v>0</v>
      </c>
      <c r="J20" s="219">
        <f>I20*H20</f>
        <v>0</v>
      </c>
      <c r="K20" s="256"/>
    </row>
    <row r="21" spans="1:11" s="124" customFormat="1" ht="62.25" customHeight="1" x14ac:dyDescent="0.2">
      <c r="A21" s="191" t="s">
        <v>196</v>
      </c>
      <c r="B21" s="191" t="s">
        <v>189</v>
      </c>
      <c r="C21" s="356" t="s">
        <v>380</v>
      </c>
      <c r="D21" s="356"/>
      <c r="E21" s="356"/>
      <c r="F21" s="356"/>
      <c r="G21" s="192" t="s">
        <v>193</v>
      </c>
      <c r="H21" s="173">
        <v>1</v>
      </c>
      <c r="I21" s="239">
        <v>0</v>
      </c>
      <c r="J21" s="219">
        <f>I21*H21</f>
        <v>0</v>
      </c>
      <c r="K21" s="256"/>
    </row>
    <row r="22" spans="1:11" s="124" customFormat="1" ht="33.75" customHeight="1" x14ac:dyDescent="0.2">
      <c r="A22" s="225"/>
      <c r="B22" s="314" t="s">
        <v>433</v>
      </c>
      <c r="C22" s="314"/>
      <c r="D22" s="314"/>
      <c r="E22" s="314"/>
      <c r="F22" s="314"/>
      <c r="G22" s="314"/>
      <c r="H22" s="314"/>
      <c r="I22" s="314"/>
      <c r="J22" s="235">
        <f>J21+J20+J19</f>
        <v>0</v>
      </c>
      <c r="K22" s="256"/>
    </row>
    <row r="23" spans="1:11" ht="29.25" customHeight="1" x14ac:dyDescent="0.2">
      <c r="A23" s="200" t="s">
        <v>3</v>
      </c>
      <c r="B23" s="357" t="s">
        <v>389</v>
      </c>
      <c r="C23" s="357"/>
      <c r="D23" s="357"/>
      <c r="E23" s="357"/>
      <c r="F23" s="357"/>
      <c r="G23" s="357"/>
      <c r="H23" s="357"/>
      <c r="I23" s="357"/>
      <c r="J23" s="357"/>
      <c r="K23" s="254"/>
    </row>
    <row r="24" spans="1:11" ht="30.75" customHeight="1" x14ac:dyDescent="0.2">
      <c r="A24" s="198" t="s">
        <v>13</v>
      </c>
      <c r="B24" s="198" t="s">
        <v>208</v>
      </c>
      <c r="C24" s="320" t="s">
        <v>209</v>
      </c>
      <c r="D24" s="320"/>
      <c r="E24" s="320"/>
      <c r="F24" s="320"/>
      <c r="G24" s="320"/>
      <c r="H24" s="320"/>
      <c r="I24" s="320"/>
      <c r="J24" s="320"/>
      <c r="K24" s="251"/>
    </row>
    <row r="25" spans="1:11" ht="27" customHeight="1" x14ac:dyDescent="0.2">
      <c r="A25" s="171" t="s">
        <v>2</v>
      </c>
      <c r="B25" s="208" t="s">
        <v>289</v>
      </c>
      <c r="C25" s="321" t="s">
        <v>284</v>
      </c>
      <c r="D25" s="321"/>
      <c r="E25" s="321"/>
      <c r="F25" s="321"/>
      <c r="G25" s="321"/>
      <c r="H25" s="321"/>
      <c r="I25" s="321"/>
      <c r="J25" s="321"/>
      <c r="K25" s="252"/>
    </row>
    <row r="26" spans="1:11" s="124" customFormat="1" ht="57" customHeight="1" x14ac:dyDescent="0.2">
      <c r="A26" s="191" t="s">
        <v>352</v>
      </c>
      <c r="B26" s="205" t="s">
        <v>377</v>
      </c>
      <c r="C26" s="356" t="s">
        <v>381</v>
      </c>
      <c r="D26" s="356"/>
      <c r="E26" s="356"/>
      <c r="F26" s="356"/>
      <c r="G26" s="125" t="s">
        <v>193</v>
      </c>
      <c r="H26" s="125">
        <v>1</v>
      </c>
      <c r="I26" s="239">
        <v>0</v>
      </c>
      <c r="J26" s="239">
        <f>I26*H26</f>
        <v>0</v>
      </c>
      <c r="K26" s="257"/>
    </row>
    <row r="27" spans="1:11" s="124" customFormat="1" ht="116.25" hidden="1" customHeight="1" x14ac:dyDescent="0.2">
      <c r="A27" s="191"/>
      <c r="B27" s="205"/>
      <c r="C27" s="352" t="s">
        <v>393</v>
      </c>
      <c r="D27" s="353"/>
      <c r="E27" s="353"/>
      <c r="F27" s="354"/>
      <c r="G27" s="119" t="s">
        <v>2</v>
      </c>
      <c r="H27" s="119"/>
      <c r="I27" s="241"/>
      <c r="J27" s="241" t="s">
        <v>2</v>
      </c>
      <c r="K27" s="258"/>
    </row>
    <row r="28" spans="1:11" ht="30.75" customHeight="1" x14ac:dyDescent="0.2">
      <c r="A28" s="171" t="s">
        <v>2</v>
      </c>
      <c r="B28" s="208" t="s">
        <v>296</v>
      </c>
      <c r="C28" s="321" t="s">
        <v>334</v>
      </c>
      <c r="D28" s="321"/>
      <c r="E28" s="321"/>
      <c r="F28" s="321"/>
      <c r="G28" s="321"/>
      <c r="H28" s="321"/>
      <c r="I28" s="321"/>
      <c r="J28" s="321"/>
      <c r="K28" s="252"/>
    </row>
    <row r="29" spans="1:11" ht="48.75" customHeight="1" x14ac:dyDescent="0.2">
      <c r="A29" s="191" t="s">
        <v>353</v>
      </c>
      <c r="B29" s="191" t="s">
        <v>356</v>
      </c>
      <c r="C29" s="326" t="s">
        <v>335</v>
      </c>
      <c r="D29" s="326"/>
      <c r="E29" s="326"/>
      <c r="F29" s="326"/>
      <c r="G29" s="127" t="s">
        <v>210</v>
      </c>
      <c r="H29" s="125">
        <f>197*1.35+197*1.8+2*2*5.2</f>
        <v>641.35</v>
      </c>
      <c r="I29" s="219">
        <v>0</v>
      </c>
      <c r="J29" s="239">
        <f>I29*H29</f>
        <v>0</v>
      </c>
      <c r="K29" s="257"/>
    </row>
    <row r="30" spans="1:11" ht="62.25" hidden="1" customHeight="1" x14ac:dyDescent="0.2">
      <c r="A30" s="212"/>
      <c r="B30" s="209"/>
      <c r="C30" s="345" t="s">
        <v>413</v>
      </c>
      <c r="D30" s="346"/>
      <c r="E30" s="346"/>
      <c r="F30" s="347"/>
      <c r="G30" s="119" t="s">
        <v>2</v>
      </c>
      <c r="H30" s="119"/>
      <c r="I30" s="241"/>
      <c r="J30" s="241" t="s">
        <v>2</v>
      </c>
      <c r="K30" s="258"/>
    </row>
    <row r="31" spans="1:11" ht="38.25" customHeight="1" x14ac:dyDescent="0.2">
      <c r="A31" s="171" t="s">
        <v>2</v>
      </c>
      <c r="B31" s="171" t="s">
        <v>212</v>
      </c>
      <c r="C31" s="355" t="s">
        <v>336</v>
      </c>
      <c r="D31" s="355"/>
      <c r="E31" s="355"/>
      <c r="F31" s="355"/>
      <c r="G31" s="355"/>
      <c r="H31" s="355"/>
      <c r="I31" s="355"/>
      <c r="J31" s="355"/>
      <c r="K31" s="259"/>
    </row>
    <row r="32" spans="1:11" ht="36" customHeight="1" x14ac:dyDescent="0.2">
      <c r="A32" s="191" t="s">
        <v>354</v>
      </c>
      <c r="B32" s="191" t="s">
        <v>337</v>
      </c>
      <c r="C32" s="326" t="s">
        <v>394</v>
      </c>
      <c r="D32" s="326"/>
      <c r="E32" s="326"/>
      <c r="F32" s="326"/>
      <c r="G32" s="127" t="s">
        <v>210</v>
      </c>
      <c r="H32" s="128">
        <f>197*3.5</f>
        <v>689.5</v>
      </c>
      <c r="I32" s="219">
        <v>0</v>
      </c>
      <c r="J32" s="239">
        <f>I32*H32</f>
        <v>0</v>
      </c>
      <c r="K32" s="260"/>
    </row>
    <row r="33" spans="1:139" ht="63.75" hidden="1" customHeight="1" x14ac:dyDescent="0.2">
      <c r="A33" s="191"/>
      <c r="B33" s="191"/>
      <c r="C33" s="339" t="s">
        <v>400</v>
      </c>
      <c r="D33" s="340"/>
      <c r="E33" s="340"/>
      <c r="F33" s="341"/>
      <c r="G33" s="119" t="s">
        <v>2</v>
      </c>
      <c r="H33" s="119" t="s">
        <v>2</v>
      </c>
      <c r="I33" s="241"/>
      <c r="J33" s="241"/>
      <c r="K33" s="258"/>
    </row>
    <row r="34" spans="1:139" ht="36" customHeight="1" x14ac:dyDescent="0.2">
      <c r="A34" s="191" t="s">
        <v>355</v>
      </c>
      <c r="B34" s="191" t="s">
        <v>338</v>
      </c>
      <c r="C34" s="326" t="s">
        <v>339</v>
      </c>
      <c r="D34" s="326"/>
      <c r="E34" s="326"/>
      <c r="F34" s="326"/>
      <c r="G34" s="127" t="s">
        <v>210</v>
      </c>
      <c r="H34" s="128">
        <v>45</v>
      </c>
      <c r="I34" s="219">
        <v>0</v>
      </c>
      <c r="J34" s="239">
        <f>I34*H34</f>
        <v>0</v>
      </c>
      <c r="K34" s="260"/>
    </row>
    <row r="35" spans="1:139" ht="47.25" hidden="1" customHeight="1" x14ac:dyDescent="0.2">
      <c r="A35" s="191"/>
      <c r="B35" s="205"/>
      <c r="C35" s="344" t="s">
        <v>395</v>
      </c>
      <c r="D35" s="344"/>
      <c r="E35" s="344"/>
      <c r="F35" s="344"/>
      <c r="G35" s="119" t="s">
        <v>2</v>
      </c>
      <c r="H35" s="119"/>
      <c r="I35" s="241"/>
      <c r="J35" s="241"/>
      <c r="K35" s="258"/>
    </row>
    <row r="36" spans="1:139" ht="36" customHeight="1" x14ac:dyDescent="0.2">
      <c r="A36" s="191" t="s">
        <v>357</v>
      </c>
      <c r="B36" s="191" t="s">
        <v>341</v>
      </c>
      <c r="C36" s="326" t="s">
        <v>382</v>
      </c>
      <c r="D36" s="326"/>
      <c r="E36" s="326"/>
      <c r="F36" s="326"/>
      <c r="G36" s="127" t="s">
        <v>210</v>
      </c>
      <c r="H36" s="128">
        <v>20</v>
      </c>
      <c r="I36" s="219">
        <v>0</v>
      </c>
      <c r="J36" s="239">
        <f>I36*H36</f>
        <v>0</v>
      </c>
      <c r="K36" s="260"/>
    </row>
    <row r="37" spans="1:139" ht="36" hidden="1" customHeight="1" x14ac:dyDescent="0.2">
      <c r="A37" s="350"/>
      <c r="B37" s="351"/>
      <c r="C37" s="326" t="s">
        <v>342</v>
      </c>
      <c r="D37" s="326"/>
      <c r="E37" s="326"/>
      <c r="F37" s="326"/>
      <c r="G37" s="127"/>
      <c r="H37" s="128"/>
      <c r="I37" s="219"/>
      <c r="J37" s="239"/>
      <c r="K37" s="260"/>
    </row>
    <row r="38" spans="1:139" ht="36" hidden="1" customHeight="1" x14ac:dyDescent="0.2">
      <c r="A38" s="350"/>
      <c r="B38" s="351"/>
      <c r="C38" s="185" t="s">
        <v>306</v>
      </c>
      <c r="D38" s="186">
        <f>J37</f>
        <v>0</v>
      </c>
      <c r="E38" s="180" t="s">
        <v>279</v>
      </c>
      <c r="F38" s="186" t="s">
        <v>340</v>
      </c>
      <c r="G38" s="127"/>
      <c r="H38" s="128"/>
      <c r="I38" s="219"/>
      <c r="J38" s="239"/>
      <c r="K38" s="260"/>
    </row>
    <row r="39" spans="1:139" ht="36" hidden="1" customHeight="1" x14ac:dyDescent="0.2">
      <c r="A39" s="350"/>
      <c r="B39" s="351"/>
      <c r="C39" s="326" t="s">
        <v>343</v>
      </c>
      <c r="D39" s="326"/>
      <c r="E39" s="326"/>
      <c r="F39" s="326"/>
      <c r="G39" s="127"/>
      <c r="H39" s="128"/>
      <c r="I39" s="219"/>
      <c r="J39" s="239"/>
      <c r="K39" s="260"/>
    </row>
    <row r="40" spans="1:139" ht="36" hidden="1" customHeight="1" x14ac:dyDescent="0.2">
      <c r="A40" s="350"/>
      <c r="B40" s="351"/>
      <c r="C40" s="185" t="s">
        <v>306</v>
      </c>
      <c r="D40" s="186">
        <f>J39</f>
        <v>0</v>
      </c>
      <c r="E40" s="180" t="s">
        <v>279</v>
      </c>
      <c r="F40" s="186" t="s">
        <v>340</v>
      </c>
      <c r="G40" s="127"/>
      <c r="H40" s="128"/>
      <c r="I40" s="219"/>
      <c r="J40" s="239"/>
      <c r="K40" s="260"/>
    </row>
    <row r="41" spans="1:139" ht="53.25" hidden="1" customHeight="1" x14ac:dyDescent="0.2">
      <c r="A41" s="191"/>
      <c r="B41" s="205"/>
      <c r="C41" s="344" t="s">
        <v>390</v>
      </c>
      <c r="D41" s="344"/>
      <c r="E41" s="344"/>
      <c r="F41" s="344"/>
      <c r="G41" s="119" t="s">
        <v>2</v>
      </c>
      <c r="H41" s="119" t="s">
        <v>2</v>
      </c>
      <c r="I41" s="241"/>
      <c r="J41" s="241"/>
      <c r="K41" s="258"/>
    </row>
    <row r="42" spans="1:139" s="47" customFormat="1" ht="25.5" customHeight="1" x14ac:dyDescent="0.2">
      <c r="A42" s="191" t="s">
        <v>358</v>
      </c>
      <c r="B42" s="205" t="s">
        <v>344</v>
      </c>
      <c r="C42" s="326" t="s">
        <v>396</v>
      </c>
      <c r="D42" s="326"/>
      <c r="E42" s="326"/>
      <c r="F42" s="326"/>
      <c r="G42" s="127" t="s">
        <v>217</v>
      </c>
      <c r="H42" s="128">
        <v>6</v>
      </c>
      <c r="I42" s="219">
        <v>0</v>
      </c>
      <c r="J42" s="239">
        <f>I42*H42</f>
        <v>0</v>
      </c>
      <c r="K42" s="260"/>
    </row>
    <row r="43" spans="1:139" s="47" customFormat="1" ht="50.25" hidden="1" customHeight="1" x14ac:dyDescent="0.2">
      <c r="A43" s="212"/>
      <c r="B43" s="211"/>
      <c r="C43" s="344" t="s">
        <v>397</v>
      </c>
      <c r="D43" s="326"/>
      <c r="E43" s="326"/>
      <c r="F43" s="326"/>
      <c r="G43" s="119" t="s">
        <v>2</v>
      </c>
      <c r="H43" s="119"/>
      <c r="I43" s="241"/>
      <c r="J43" s="241" t="s">
        <v>2</v>
      </c>
      <c r="K43" s="258"/>
    </row>
    <row r="44" spans="1:139" s="47" customFormat="1" ht="36.75" customHeight="1" x14ac:dyDescent="0.2">
      <c r="A44" s="317" t="s">
        <v>223</v>
      </c>
      <c r="B44" s="317"/>
      <c r="C44" s="317"/>
      <c r="D44" s="317"/>
      <c r="E44" s="317"/>
      <c r="F44" s="317"/>
      <c r="G44" s="317"/>
      <c r="H44" s="317"/>
      <c r="I44" s="317"/>
      <c r="J44" s="236">
        <f>J42+J36+J34+J32+J29+J26</f>
        <v>0</v>
      </c>
      <c r="K44" s="258"/>
    </row>
    <row r="45" spans="1:139" s="136" customFormat="1" ht="27" customHeight="1" x14ac:dyDescent="0.2">
      <c r="A45" s="198" t="s">
        <v>14</v>
      </c>
      <c r="B45" s="198" t="s">
        <v>220</v>
      </c>
      <c r="C45" s="320" t="s">
        <v>221</v>
      </c>
      <c r="D45" s="320"/>
      <c r="E45" s="320"/>
      <c r="F45" s="320"/>
      <c r="G45" s="320"/>
      <c r="H45" s="320"/>
      <c r="I45" s="320"/>
      <c r="J45" s="320"/>
      <c r="K45" s="251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5"/>
      <c r="BG45" s="135"/>
      <c r="BH45" s="135"/>
      <c r="BI45" s="135"/>
      <c r="BJ45" s="135"/>
      <c r="BK45" s="135"/>
      <c r="BL45" s="135"/>
      <c r="BM45" s="135"/>
      <c r="BN45" s="135"/>
      <c r="BO45" s="135"/>
      <c r="BP45" s="135"/>
      <c r="BQ45" s="135"/>
      <c r="BR45" s="135"/>
      <c r="BS45" s="135"/>
      <c r="BT45" s="135"/>
      <c r="BU45" s="135"/>
      <c r="BV45" s="135"/>
      <c r="BW45" s="135"/>
      <c r="BX45" s="135"/>
      <c r="BY45" s="135"/>
      <c r="BZ45" s="135"/>
      <c r="CA45" s="135"/>
      <c r="CB45" s="135"/>
      <c r="CC45" s="135"/>
      <c r="CD45" s="135"/>
      <c r="CE45" s="135"/>
      <c r="CF45" s="135"/>
      <c r="CG45" s="135"/>
      <c r="CH45" s="135"/>
      <c r="CI45" s="135"/>
      <c r="CJ45" s="135"/>
      <c r="CK45" s="135"/>
      <c r="CL45" s="135"/>
      <c r="CM45" s="135"/>
      <c r="CN45" s="135"/>
      <c r="CO45" s="135"/>
      <c r="CP45" s="135"/>
      <c r="CQ45" s="135"/>
      <c r="CR45" s="135"/>
      <c r="CS45" s="135"/>
      <c r="CT45" s="135"/>
      <c r="CU45" s="135"/>
      <c r="CV45" s="135"/>
      <c r="CW45" s="135"/>
      <c r="CX45" s="135"/>
      <c r="CY45" s="135"/>
      <c r="CZ45" s="135"/>
      <c r="DA45" s="135"/>
      <c r="DB45" s="135"/>
      <c r="DC45" s="135"/>
      <c r="DD45" s="135"/>
      <c r="DE45" s="135"/>
      <c r="DF45" s="135"/>
      <c r="DG45" s="135"/>
      <c r="DH45" s="135"/>
      <c r="DI45" s="135"/>
      <c r="DJ45" s="135"/>
      <c r="DK45" s="135"/>
      <c r="DL45" s="135"/>
      <c r="DM45" s="135"/>
      <c r="DN45" s="135"/>
      <c r="DO45" s="135"/>
      <c r="DP45" s="135"/>
      <c r="DQ45" s="135"/>
      <c r="DR45" s="135"/>
      <c r="DS45" s="135"/>
      <c r="DT45" s="135"/>
      <c r="DU45" s="135"/>
      <c r="DV45" s="135"/>
      <c r="DW45" s="135"/>
      <c r="DX45" s="135"/>
      <c r="DY45" s="135"/>
      <c r="DZ45" s="135"/>
      <c r="EA45" s="135"/>
      <c r="EB45" s="135"/>
      <c r="EC45" s="135"/>
      <c r="ED45" s="135"/>
      <c r="EE45" s="135"/>
      <c r="EF45" s="135"/>
      <c r="EG45" s="135"/>
      <c r="EH45" s="135"/>
      <c r="EI45" s="135"/>
    </row>
    <row r="46" spans="1:139" s="136" customFormat="1" ht="20.25" customHeight="1" x14ac:dyDescent="0.2">
      <c r="A46" s="171" t="s">
        <v>2</v>
      </c>
      <c r="B46" s="171" t="s">
        <v>297</v>
      </c>
      <c r="C46" s="321" t="s">
        <v>285</v>
      </c>
      <c r="D46" s="321"/>
      <c r="E46" s="321"/>
      <c r="F46" s="321"/>
      <c r="G46" s="321"/>
      <c r="H46" s="321"/>
      <c r="I46" s="321"/>
      <c r="J46" s="321"/>
      <c r="K46" s="252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5"/>
      <c r="BH46" s="135"/>
      <c r="BI46" s="135"/>
      <c r="BJ46" s="135"/>
      <c r="BK46" s="135"/>
      <c r="BL46" s="135"/>
      <c r="BM46" s="135"/>
      <c r="BN46" s="135"/>
      <c r="BO46" s="135"/>
      <c r="BP46" s="135"/>
      <c r="BQ46" s="135"/>
      <c r="BR46" s="135"/>
      <c r="BS46" s="135"/>
      <c r="BT46" s="135"/>
      <c r="BU46" s="135"/>
      <c r="BV46" s="135"/>
      <c r="BW46" s="135"/>
      <c r="BX46" s="135"/>
      <c r="BY46" s="135"/>
      <c r="BZ46" s="135"/>
      <c r="CA46" s="135"/>
      <c r="CB46" s="135"/>
      <c r="CC46" s="135"/>
      <c r="CD46" s="135"/>
      <c r="CE46" s="135"/>
      <c r="CF46" s="135"/>
      <c r="CG46" s="135"/>
      <c r="CH46" s="135"/>
      <c r="CI46" s="135"/>
      <c r="CJ46" s="135"/>
      <c r="CK46" s="135"/>
      <c r="CL46" s="135"/>
      <c r="CM46" s="135"/>
      <c r="CN46" s="135"/>
      <c r="CO46" s="135"/>
      <c r="CP46" s="135"/>
      <c r="CQ46" s="135"/>
      <c r="CR46" s="135"/>
      <c r="CS46" s="135"/>
      <c r="CT46" s="135"/>
      <c r="CU46" s="135"/>
      <c r="CV46" s="135"/>
      <c r="CW46" s="135"/>
      <c r="CX46" s="135"/>
      <c r="CY46" s="135"/>
      <c r="CZ46" s="135"/>
      <c r="DA46" s="135"/>
      <c r="DB46" s="135"/>
      <c r="DC46" s="135"/>
      <c r="DD46" s="135"/>
      <c r="DE46" s="135"/>
      <c r="DF46" s="135"/>
      <c r="DG46" s="135"/>
      <c r="DH46" s="135"/>
      <c r="DI46" s="135"/>
      <c r="DJ46" s="135"/>
      <c r="DK46" s="135"/>
      <c r="DL46" s="135"/>
      <c r="DM46" s="135"/>
      <c r="DN46" s="135"/>
      <c r="DO46" s="135"/>
      <c r="DP46" s="135"/>
      <c r="DQ46" s="135"/>
      <c r="DR46" s="135"/>
      <c r="DS46" s="135"/>
      <c r="DT46" s="135"/>
      <c r="DU46" s="135"/>
      <c r="DV46" s="135"/>
      <c r="DW46" s="135"/>
      <c r="DX46" s="135"/>
      <c r="DY46" s="135"/>
      <c r="DZ46" s="135"/>
      <c r="EA46" s="135"/>
      <c r="EB46" s="135"/>
      <c r="EC46" s="135"/>
      <c r="ED46" s="135"/>
      <c r="EE46" s="135"/>
      <c r="EF46" s="135"/>
      <c r="EG46" s="135"/>
      <c r="EH46" s="135"/>
      <c r="EI46" s="135"/>
    </row>
    <row r="47" spans="1:139" s="136" customFormat="1" ht="27.75" customHeight="1" x14ac:dyDescent="0.2">
      <c r="A47" s="191" t="s">
        <v>359</v>
      </c>
      <c r="B47" s="191" t="s">
        <v>222</v>
      </c>
      <c r="C47" s="348" t="s">
        <v>383</v>
      </c>
      <c r="D47" s="348"/>
      <c r="E47" s="348"/>
      <c r="F47" s="348"/>
      <c r="G47" s="127" t="s">
        <v>219</v>
      </c>
      <c r="H47" s="128">
        <f>9*3*2+2*2.5</f>
        <v>59</v>
      </c>
      <c r="I47" s="219">
        <v>0</v>
      </c>
      <c r="J47" s="239">
        <f>I47*H47</f>
        <v>0</v>
      </c>
      <c r="K47" s="260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135"/>
      <c r="BB47" s="135"/>
      <c r="BC47" s="135"/>
      <c r="BD47" s="135"/>
      <c r="BE47" s="135"/>
      <c r="BF47" s="135"/>
      <c r="BG47" s="135"/>
      <c r="BH47" s="135"/>
      <c r="BI47" s="135"/>
      <c r="BJ47" s="135"/>
      <c r="BK47" s="135"/>
      <c r="BL47" s="135"/>
      <c r="BM47" s="135"/>
      <c r="BN47" s="135"/>
      <c r="BO47" s="135"/>
      <c r="BP47" s="135"/>
      <c r="BQ47" s="135"/>
      <c r="BR47" s="135"/>
      <c r="BS47" s="135"/>
      <c r="BT47" s="135"/>
      <c r="BU47" s="135"/>
      <c r="BV47" s="135"/>
      <c r="BW47" s="135"/>
      <c r="BX47" s="135"/>
      <c r="BY47" s="135"/>
      <c r="BZ47" s="135"/>
      <c r="CA47" s="135"/>
      <c r="CB47" s="135"/>
      <c r="CC47" s="135"/>
      <c r="CD47" s="135"/>
      <c r="CE47" s="135"/>
      <c r="CF47" s="135"/>
      <c r="CG47" s="135"/>
      <c r="CH47" s="135"/>
      <c r="CI47" s="135"/>
      <c r="CJ47" s="135"/>
      <c r="CK47" s="135"/>
      <c r="CL47" s="135"/>
      <c r="CM47" s="135"/>
      <c r="CN47" s="135"/>
      <c r="CO47" s="135"/>
      <c r="CP47" s="135"/>
      <c r="CQ47" s="135"/>
      <c r="CR47" s="135"/>
      <c r="CS47" s="135"/>
      <c r="CT47" s="135"/>
      <c r="CU47" s="135"/>
      <c r="CV47" s="135"/>
      <c r="CW47" s="135"/>
      <c r="CX47" s="135"/>
      <c r="CY47" s="135"/>
      <c r="CZ47" s="135"/>
      <c r="DA47" s="135"/>
      <c r="DB47" s="135"/>
      <c r="DC47" s="135"/>
      <c r="DD47" s="135"/>
      <c r="DE47" s="135"/>
      <c r="DF47" s="135"/>
      <c r="DG47" s="135"/>
      <c r="DH47" s="135"/>
      <c r="DI47" s="135"/>
      <c r="DJ47" s="135"/>
      <c r="DK47" s="135"/>
      <c r="DL47" s="135"/>
      <c r="DM47" s="135"/>
      <c r="DN47" s="135"/>
      <c r="DO47" s="135"/>
      <c r="DP47" s="135"/>
      <c r="DQ47" s="135"/>
      <c r="DR47" s="135"/>
      <c r="DS47" s="135"/>
      <c r="DT47" s="135"/>
      <c r="DU47" s="135"/>
      <c r="DV47" s="135"/>
      <c r="DW47" s="135"/>
      <c r="DX47" s="135"/>
      <c r="DY47" s="135"/>
      <c r="DZ47" s="135"/>
      <c r="EA47" s="135"/>
      <c r="EB47" s="135"/>
      <c r="EC47" s="135"/>
      <c r="ED47" s="135"/>
      <c r="EE47" s="135"/>
      <c r="EF47" s="135"/>
      <c r="EG47" s="135"/>
      <c r="EH47" s="135"/>
      <c r="EI47" s="135"/>
    </row>
    <row r="48" spans="1:139" s="136" customFormat="1" ht="57.75" hidden="1" customHeight="1" x14ac:dyDescent="0.2">
      <c r="A48" s="212"/>
      <c r="B48" s="211"/>
      <c r="C48" s="345" t="s">
        <v>401</v>
      </c>
      <c r="D48" s="346"/>
      <c r="E48" s="346"/>
      <c r="F48" s="347"/>
      <c r="G48" s="130" t="s">
        <v>213</v>
      </c>
      <c r="H48" s="128" t="s">
        <v>2</v>
      </c>
      <c r="I48" s="276"/>
      <c r="J48" s="239"/>
      <c r="K48" s="260"/>
      <c r="L48" s="139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135"/>
      <c r="AZ48" s="135"/>
      <c r="BA48" s="135"/>
      <c r="BB48" s="135"/>
      <c r="BC48" s="135"/>
      <c r="BD48" s="135"/>
      <c r="BE48" s="135"/>
      <c r="BF48" s="135"/>
      <c r="BG48" s="135"/>
      <c r="BH48" s="135"/>
      <c r="BI48" s="135"/>
      <c r="BJ48" s="135"/>
      <c r="BK48" s="135"/>
      <c r="BL48" s="135"/>
      <c r="BM48" s="135"/>
      <c r="BN48" s="135"/>
      <c r="BO48" s="135"/>
      <c r="BP48" s="135"/>
      <c r="BQ48" s="135"/>
      <c r="BR48" s="135"/>
      <c r="BS48" s="135"/>
      <c r="BT48" s="135"/>
      <c r="BU48" s="135"/>
      <c r="BV48" s="135"/>
      <c r="BW48" s="135"/>
      <c r="BX48" s="135"/>
      <c r="BY48" s="135"/>
      <c r="BZ48" s="135"/>
      <c r="CA48" s="135"/>
      <c r="CB48" s="135"/>
      <c r="CC48" s="135"/>
      <c r="CD48" s="135"/>
      <c r="CE48" s="135"/>
      <c r="CF48" s="135"/>
      <c r="CG48" s="135"/>
      <c r="CH48" s="135"/>
      <c r="CI48" s="135"/>
      <c r="CJ48" s="135"/>
      <c r="CK48" s="135"/>
      <c r="CL48" s="135"/>
      <c r="CM48" s="135"/>
      <c r="CN48" s="135"/>
      <c r="CO48" s="135"/>
      <c r="CP48" s="135"/>
      <c r="CQ48" s="135"/>
      <c r="CR48" s="135"/>
      <c r="CS48" s="135"/>
      <c r="CT48" s="135"/>
      <c r="CU48" s="135"/>
      <c r="CV48" s="135"/>
      <c r="CW48" s="135"/>
      <c r="CX48" s="135"/>
      <c r="CY48" s="135"/>
      <c r="CZ48" s="135"/>
      <c r="DA48" s="135"/>
      <c r="DB48" s="135"/>
      <c r="DC48" s="135"/>
      <c r="DD48" s="135"/>
      <c r="DE48" s="135"/>
      <c r="DF48" s="135"/>
      <c r="DG48" s="135"/>
      <c r="DH48" s="135"/>
      <c r="DI48" s="135"/>
      <c r="DJ48" s="135"/>
      <c r="DK48" s="135"/>
      <c r="DL48" s="135"/>
      <c r="DM48" s="135"/>
      <c r="DN48" s="135"/>
      <c r="DO48" s="135"/>
      <c r="DP48" s="135"/>
      <c r="DQ48" s="135"/>
      <c r="DR48" s="135"/>
      <c r="DS48" s="135"/>
      <c r="DT48" s="135"/>
      <c r="DU48" s="135"/>
      <c r="DV48" s="135"/>
      <c r="DW48" s="135"/>
      <c r="DX48" s="135"/>
      <c r="DY48" s="135"/>
      <c r="DZ48" s="135"/>
      <c r="EA48" s="135"/>
      <c r="EB48" s="135"/>
      <c r="EC48" s="135"/>
      <c r="ED48" s="135"/>
      <c r="EE48" s="135"/>
      <c r="EF48" s="135"/>
      <c r="EG48" s="135"/>
      <c r="EH48" s="135"/>
      <c r="EI48" s="135"/>
    </row>
    <row r="49" spans="1:139" s="136" customFormat="1" ht="33" customHeight="1" x14ac:dyDescent="0.2">
      <c r="A49" s="191" t="s">
        <v>331</v>
      </c>
      <c r="B49" s="191" t="s">
        <v>387</v>
      </c>
      <c r="C49" s="349" t="s">
        <v>351</v>
      </c>
      <c r="D49" s="349"/>
      <c r="E49" s="349"/>
      <c r="F49" s="349"/>
      <c r="G49" s="127" t="s">
        <v>219</v>
      </c>
      <c r="H49" s="128">
        <f>197*1.6+2*5*1.5</f>
        <v>330.2</v>
      </c>
      <c r="I49" s="219">
        <v>0</v>
      </c>
      <c r="J49" s="239">
        <f>I49*H49</f>
        <v>0</v>
      </c>
      <c r="K49" s="260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  <c r="AV49" s="135"/>
      <c r="AW49" s="135"/>
      <c r="AX49" s="135"/>
      <c r="AY49" s="135"/>
      <c r="AZ49" s="135"/>
      <c r="BA49" s="135"/>
      <c r="BB49" s="135"/>
      <c r="BC49" s="135"/>
      <c r="BD49" s="135"/>
      <c r="BE49" s="135"/>
      <c r="BF49" s="135"/>
      <c r="BG49" s="135"/>
      <c r="BH49" s="135"/>
      <c r="BI49" s="135"/>
      <c r="BJ49" s="135"/>
      <c r="BK49" s="135"/>
      <c r="BL49" s="135"/>
      <c r="BM49" s="135"/>
      <c r="BN49" s="135"/>
      <c r="BO49" s="135"/>
      <c r="BP49" s="135"/>
      <c r="BQ49" s="135"/>
      <c r="BR49" s="135"/>
      <c r="BS49" s="135"/>
      <c r="BT49" s="135"/>
      <c r="BU49" s="135"/>
      <c r="BV49" s="135"/>
      <c r="BW49" s="135"/>
      <c r="BX49" s="135"/>
      <c r="BY49" s="135"/>
      <c r="BZ49" s="135"/>
      <c r="CA49" s="135"/>
      <c r="CB49" s="135"/>
      <c r="CC49" s="135"/>
      <c r="CD49" s="135"/>
      <c r="CE49" s="135"/>
      <c r="CF49" s="135"/>
      <c r="CG49" s="135"/>
      <c r="CH49" s="135"/>
      <c r="CI49" s="135"/>
      <c r="CJ49" s="135"/>
      <c r="CK49" s="135"/>
      <c r="CL49" s="135"/>
      <c r="CM49" s="135"/>
      <c r="CN49" s="135"/>
      <c r="CO49" s="135"/>
      <c r="CP49" s="135"/>
      <c r="CQ49" s="135"/>
      <c r="CR49" s="135"/>
      <c r="CS49" s="135"/>
      <c r="CT49" s="135"/>
      <c r="CU49" s="135"/>
      <c r="CV49" s="135"/>
      <c r="CW49" s="135"/>
      <c r="CX49" s="135"/>
      <c r="CY49" s="135"/>
      <c r="CZ49" s="135"/>
      <c r="DA49" s="135"/>
      <c r="DB49" s="135"/>
      <c r="DC49" s="135"/>
      <c r="DD49" s="135"/>
      <c r="DE49" s="135"/>
      <c r="DF49" s="135"/>
      <c r="DG49" s="135"/>
      <c r="DH49" s="135"/>
      <c r="DI49" s="135"/>
      <c r="DJ49" s="135"/>
      <c r="DK49" s="135"/>
      <c r="DL49" s="135"/>
      <c r="DM49" s="135"/>
      <c r="DN49" s="135"/>
      <c r="DO49" s="135"/>
      <c r="DP49" s="135"/>
      <c r="DQ49" s="135"/>
      <c r="DR49" s="135"/>
      <c r="DS49" s="135"/>
      <c r="DT49" s="135"/>
      <c r="DU49" s="135"/>
      <c r="DV49" s="135"/>
      <c r="DW49" s="135"/>
      <c r="DX49" s="135"/>
      <c r="DY49" s="135"/>
      <c r="DZ49" s="135"/>
      <c r="EA49" s="135"/>
      <c r="EB49" s="135"/>
      <c r="EC49" s="135"/>
      <c r="ED49" s="135"/>
      <c r="EE49" s="135"/>
      <c r="EF49" s="135"/>
      <c r="EG49" s="135"/>
      <c r="EH49" s="135"/>
      <c r="EI49" s="135"/>
    </row>
    <row r="50" spans="1:139" s="129" customFormat="1" ht="53.25" hidden="1" customHeight="1" x14ac:dyDescent="0.2">
      <c r="A50" s="227"/>
      <c r="B50" s="211"/>
      <c r="C50" s="345" t="s">
        <v>398</v>
      </c>
      <c r="D50" s="346"/>
      <c r="E50" s="346"/>
      <c r="F50" s="347"/>
      <c r="G50" s="130" t="s">
        <v>213</v>
      </c>
      <c r="H50" s="130"/>
      <c r="I50" s="276"/>
      <c r="J50" s="239" t="s">
        <v>2</v>
      </c>
      <c r="K50" s="260"/>
    </row>
    <row r="51" spans="1:139" s="129" customFormat="1" ht="36" hidden="1" customHeight="1" x14ac:dyDescent="0.2">
      <c r="A51" s="317" t="s">
        <v>234</v>
      </c>
      <c r="B51" s="317"/>
      <c r="C51" s="317"/>
      <c r="D51" s="317"/>
      <c r="E51" s="317"/>
      <c r="F51" s="317"/>
      <c r="G51" s="317"/>
      <c r="H51" s="317"/>
      <c r="I51" s="317"/>
      <c r="J51" s="317"/>
      <c r="K51" s="261"/>
    </row>
    <row r="52" spans="1:139" s="129" customFormat="1" ht="36" customHeight="1" x14ac:dyDescent="0.2">
      <c r="A52" s="317" t="s">
        <v>234</v>
      </c>
      <c r="B52" s="317"/>
      <c r="C52" s="317"/>
      <c r="D52" s="317"/>
      <c r="E52" s="317"/>
      <c r="F52" s="317"/>
      <c r="G52" s="317"/>
      <c r="H52" s="317"/>
      <c r="I52" s="317"/>
      <c r="J52" s="233">
        <f>J49+J47</f>
        <v>0</v>
      </c>
      <c r="K52" s="261"/>
    </row>
    <row r="53" spans="1:139" s="143" customFormat="1" ht="32.25" customHeight="1" x14ac:dyDescent="0.2">
      <c r="A53" s="198" t="s">
        <v>10</v>
      </c>
      <c r="B53" s="198" t="s">
        <v>224</v>
      </c>
      <c r="C53" s="320" t="s">
        <v>225</v>
      </c>
      <c r="D53" s="320"/>
      <c r="E53" s="320"/>
      <c r="F53" s="320"/>
      <c r="G53" s="320"/>
      <c r="H53" s="320"/>
      <c r="I53" s="320"/>
      <c r="J53" s="320"/>
      <c r="K53" s="251"/>
    </row>
    <row r="54" spans="1:139" s="143" customFormat="1" ht="17.25" hidden="1" customHeight="1" x14ac:dyDescent="0.2">
      <c r="A54" s="210" t="s">
        <v>2</v>
      </c>
      <c r="B54" s="210" t="s">
        <v>226</v>
      </c>
      <c r="C54" s="335" t="s">
        <v>227</v>
      </c>
      <c r="D54" s="335"/>
      <c r="E54" s="335"/>
      <c r="F54" s="335"/>
      <c r="G54" s="133"/>
      <c r="H54" s="133"/>
      <c r="I54" s="226"/>
      <c r="J54" s="226"/>
      <c r="K54" s="262"/>
    </row>
    <row r="55" spans="1:139" s="143" customFormat="1" ht="19.5" hidden="1" customHeight="1" x14ac:dyDescent="0.2">
      <c r="A55" s="227">
        <v>30</v>
      </c>
      <c r="B55" s="212" t="s">
        <v>228</v>
      </c>
      <c r="C55" s="144" t="s">
        <v>229</v>
      </c>
      <c r="D55" s="145" t="s">
        <v>230</v>
      </c>
      <c r="E55" s="146"/>
      <c r="F55" s="146"/>
      <c r="G55" s="133"/>
      <c r="H55" s="133"/>
      <c r="I55" s="226"/>
      <c r="J55" s="226"/>
      <c r="K55" s="262"/>
    </row>
    <row r="56" spans="1:139" s="143" customFormat="1" ht="161.25" hidden="1" customHeight="1" x14ac:dyDescent="0.2">
      <c r="A56" s="227"/>
      <c r="B56" s="211"/>
      <c r="C56" s="142" t="s">
        <v>231</v>
      </c>
      <c r="D56" s="137" t="s">
        <v>214</v>
      </c>
      <c r="E56" s="138"/>
      <c r="F56" s="138"/>
      <c r="G56" s="133"/>
      <c r="H56" s="133"/>
      <c r="I56" s="226"/>
      <c r="J56" s="226"/>
      <c r="K56" s="262"/>
    </row>
    <row r="57" spans="1:139" s="143" customFormat="1" ht="33" customHeight="1" x14ac:dyDescent="0.2">
      <c r="A57" s="171" t="s">
        <v>2</v>
      </c>
      <c r="B57" s="208" t="s">
        <v>226</v>
      </c>
      <c r="C57" s="321" t="s">
        <v>232</v>
      </c>
      <c r="D57" s="321"/>
      <c r="E57" s="321"/>
      <c r="F57" s="321"/>
      <c r="G57" s="321"/>
      <c r="H57" s="321"/>
      <c r="I57" s="321"/>
      <c r="J57" s="321"/>
      <c r="K57" s="252"/>
    </row>
    <row r="58" spans="1:139" s="190" customFormat="1" ht="27" customHeight="1" x14ac:dyDescent="0.2">
      <c r="A58" s="191" t="s">
        <v>360</v>
      </c>
      <c r="B58" s="205" t="s">
        <v>330</v>
      </c>
      <c r="C58" s="326" t="s">
        <v>399</v>
      </c>
      <c r="D58" s="326"/>
      <c r="E58" s="326"/>
      <c r="F58" s="326"/>
      <c r="G58" s="178" t="s">
        <v>217</v>
      </c>
      <c r="H58" s="179">
        <v>9</v>
      </c>
      <c r="I58" s="219">
        <v>0</v>
      </c>
      <c r="J58" s="239">
        <f>I58*H58</f>
        <v>0</v>
      </c>
      <c r="K58" s="263"/>
    </row>
    <row r="59" spans="1:139" s="190" customFormat="1" ht="49.5" hidden="1" customHeight="1" x14ac:dyDescent="0.2">
      <c r="A59" s="193"/>
      <c r="B59" s="193"/>
      <c r="C59" s="344" t="s">
        <v>426</v>
      </c>
      <c r="D59" s="344"/>
      <c r="E59" s="344"/>
      <c r="F59" s="344"/>
      <c r="G59" s="127" t="s">
        <v>217</v>
      </c>
      <c r="H59" s="127"/>
      <c r="I59" s="219"/>
      <c r="J59" s="239">
        <v>9</v>
      </c>
      <c r="K59" s="260"/>
    </row>
    <row r="60" spans="1:139" s="190" customFormat="1" ht="30" hidden="1" customHeight="1" x14ac:dyDescent="0.2">
      <c r="A60" s="188"/>
      <c r="B60" s="237"/>
      <c r="C60" s="180"/>
      <c r="D60" s="180"/>
      <c r="E60" s="180"/>
      <c r="F60" s="180"/>
      <c r="G60" s="178"/>
      <c r="H60" s="178"/>
      <c r="I60" s="219"/>
      <c r="J60" s="239"/>
      <c r="K60" s="263"/>
    </row>
    <row r="61" spans="1:139" s="143" customFormat="1" ht="63.75" hidden="1" x14ac:dyDescent="0.2">
      <c r="A61" s="227"/>
      <c r="B61" s="211"/>
      <c r="C61" s="142" t="s">
        <v>233</v>
      </c>
      <c r="D61" s="130" t="s">
        <v>217</v>
      </c>
      <c r="E61" s="131">
        <v>4.5</v>
      </c>
      <c r="F61" s="131" t="s">
        <v>2</v>
      </c>
      <c r="G61" s="133"/>
      <c r="H61" s="133"/>
      <c r="I61" s="226"/>
      <c r="J61" s="226"/>
      <c r="K61" s="262"/>
    </row>
    <row r="62" spans="1:139" s="143" customFormat="1" ht="26.25" hidden="1" customHeight="1" x14ac:dyDescent="0.2">
      <c r="A62" s="194" t="s">
        <v>291</v>
      </c>
      <c r="B62" s="191"/>
      <c r="C62" s="116" t="s">
        <v>286</v>
      </c>
      <c r="D62" s="127" t="s">
        <v>218</v>
      </c>
      <c r="E62" s="131"/>
      <c r="F62" s="128">
        <v>0</v>
      </c>
      <c r="G62" s="132">
        <v>12500</v>
      </c>
      <c r="H62" s="132"/>
      <c r="I62" s="184"/>
      <c r="J62" s="184"/>
      <c r="K62" s="264"/>
    </row>
    <row r="63" spans="1:139" s="143" customFormat="1" ht="22.5" hidden="1" customHeight="1" x14ac:dyDescent="0.2">
      <c r="A63" s="317" t="s">
        <v>237</v>
      </c>
      <c r="B63" s="317"/>
      <c r="C63" s="317"/>
      <c r="D63" s="317"/>
      <c r="E63" s="317"/>
      <c r="F63" s="317"/>
      <c r="G63" s="317"/>
      <c r="H63" s="317"/>
      <c r="I63" s="317"/>
      <c r="J63" s="317"/>
      <c r="K63" s="261"/>
    </row>
    <row r="64" spans="1:139" s="143" customFormat="1" ht="22.5" customHeight="1" x14ac:dyDescent="0.2">
      <c r="A64" s="317" t="s">
        <v>237</v>
      </c>
      <c r="B64" s="317"/>
      <c r="C64" s="317"/>
      <c r="D64" s="317"/>
      <c r="E64" s="317"/>
      <c r="F64" s="317"/>
      <c r="G64" s="317"/>
      <c r="H64" s="317"/>
      <c r="I64" s="317"/>
      <c r="J64" s="233">
        <f>J58</f>
        <v>0</v>
      </c>
      <c r="K64" s="261"/>
    </row>
    <row r="65" spans="1:11" s="143" customFormat="1" ht="27" customHeight="1" x14ac:dyDescent="0.2">
      <c r="A65" s="198" t="s">
        <v>11</v>
      </c>
      <c r="B65" s="198" t="s">
        <v>235</v>
      </c>
      <c r="C65" s="320" t="s">
        <v>301</v>
      </c>
      <c r="D65" s="320"/>
      <c r="E65" s="320"/>
      <c r="F65" s="320"/>
      <c r="G65" s="320"/>
      <c r="H65" s="320"/>
      <c r="I65" s="320"/>
      <c r="J65" s="320"/>
      <c r="K65" s="251"/>
    </row>
    <row r="66" spans="1:11" s="143" customFormat="1" ht="19.5" customHeight="1" x14ac:dyDescent="0.2">
      <c r="A66" s="171" t="s">
        <v>2</v>
      </c>
      <c r="B66" s="171" t="s">
        <v>298</v>
      </c>
      <c r="C66" s="321" t="s">
        <v>236</v>
      </c>
      <c r="D66" s="321"/>
      <c r="E66" s="321"/>
      <c r="F66" s="321"/>
      <c r="G66" s="321"/>
      <c r="H66" s="321"/>
      <c r="I66" s="321"/>
      <c r="J66" s="321"/>
      <c r="K66" s="252"/>
    </row>
    <row r="67" spans="1:11" s="124" customFormat="1" ht="41.25" customHeight="1" x14ac:dyDescent="0.2">
      <c r="A67" s="197" t="s">
        <v>361</v>
      </c>
      <c r="B67" s="197"/>
      <c r="C67" s="322" t="s">
        <v>300</v>
      </c>
      <c r="D67" s="322"/>
      <c r="E67" s="322"/>
      <c r="F67" s="322"/>
      <c r="G67" s="140" t="s">
        <v>210</v>
      </c>
      <c r="H67" s="141">
        <f>3*197</f>
        <v>591</v>
      </c>
      <c r="I67" s="219">
        <v>0</v>
      </c>
      <c r="J67" s="239">
        <f>I67*H67</f>
        <v>0</v>
      </c>
      <c r="K67" s="265"/>
    </row>
    <row r="68" spans="1:11" s="124" customFormat="1" ht="48" hidden="1" customHeight="1" x14ac:dyDescent="0.2">
      <c r="A68" s="214"/>
      <c r="B68" s="213"/>
      <c r="C68" s="332" t="s">
        <v>404</v>
      </c>
      <c r="D68" s="333"/>
      <c r="E68" s="333"/>
      <c r="F68" s="334"/>
      <c r="G68" s="126" t="s">
        <v>2</v>
      </c>
      <c r="H68" s="126"/>
      <c r="I68" s="220"/>
      <c r="J68" s="220" t="s">
        <v>2</v>
      </c>
      <c r="K68" s="266"/>
    </row>
    <row r="69" spans="1:11" s="139" customFormat="1" ht="26.25" customHeight="1" x14ac:dyDescent="0.2">
      <c r="A69" s="171" t="s">
        <v>2</v>
      </c>
      <c r="B69" s="171" t="s">
        <v>320</v>
      </c>
      <c r="C69" s="321" t="s">
        <v>321</v>
      </c>
      <c r="D69" s="321"/>
      <c r="E69" s="321"/>
      <c r="F69" s="321"/>
      <c r="G69" s="321"/>
      <c r="H69" s="321"/>
      <c r="I69" s="321"/>
      <c r="J69" s="321"/>
      <c r="K69" s="252"/>
    </row>
    <row r="70" spans="1:11" s="139" customFormat="1" ht="39.75" customHeight="1" x14ac:dyDescent="0.2">
      <c r="A70" s="195" t="s">
        <v>362</v>
      </c>
      <c r="B70" s="195" t="s">
        <v>322</v>
      </c>
      <c r="C70" s="322" t="s">
        <v>323</v>
      </c>
      <c r="D70" s="322"/>
      <c r="E70" s="322"/>
      <c r="F70" s="322"/>
      <c r="G70" s="140" t="s">
        <v>210</v>
      </c>
      <c r="H70" s="141">
        <v>872.9</v>
      </c>
      <c r="I70" s="219">
        <v>0</v>
      </c>
      <c r="J70" s="239">
        <f>I70*H70</f>
        <v>0</v>
      </c>
      <c r="K70" s="265"/>
    </row>
    <row r="71" spans="1:11" s="139" customFormat="1" ht="42.75" hidden="1" customHeight="1" x14ac:dyDescent="0.2">
      <c r="A71" s="197"/>
      <c r="B71" s="214"/>
      <c r="C71" s="339" t="s">
        <v>405</v>
      </c>
      <c r="D71" s="340"/>
      <c r="E71" s="340"/>
      <c r="F71" s="341"/>
      <c r="G71" s="140" t="s">
        <v>2</v>
      </c>
      <c r="H71" s="140"/>
      <c r="I71" s="219"/>
      <c r="J71" s="239" t="s">
        <v>2</v>
      </c>
      <c r="K71" s="265"/>
    </row>
    <row r="72" spans="1:11" s="139" customFormat="1" ht="30.75" customHeight="1" x14ac:dyDescent="0.2">
      <c r="A72" s="171" t="s">
        <v>2</v>
      </c>
      <c r="B72" s="171" t="s">
        <v>324</v>
      </c>
      <c r="C72" s="321" t="s">
        <v>325</v>
      </c>
      <c r="D72" s="321"/>
      <c r="E72" s="321"/>
      <c r="F72" s="321"/>
      <c r="G72" s="321"/>
      <c r="H72" s="321"/>
      <c r="I72" s="321"/>
      <c r="J72" s="321"/>
      <c r="K72" s="252"/>
    </row>
    <row r="73" spans="1:11" s="139" customFormat="1" ht="39" customHeight="1" x14ac:dyDescent="0.2">
      <c r="A73" s="197" t="s">
        <v>363</v>
      </c>
      <c r="B73" s="187" t="s">
        <v>326</v>
      </c>
      <c r="C73" s="322" t="s">
        <v>427</v>
      </c>
      <c r="D73" s="322"/>
      <c r="E73" s="322"/>
      <c r="F73" s="322"/>
      <c r="G73" s="140" t="s">
        <v>210</v>
      </c>
      <c r="H73" s="141">
        <v>80</v>
      </c>
      <c r="I73" s="219">
        <v>0</v>
      </c>
      <c r="J73" s="239">
        <f>I73*H73</f>
        <v>0</v>
      </c>
      <c r="K73" s="265"/>
    </row>
    <row r="74" spans="1:11" s="139" customFormat="1" ht="33.75" hidden="1" customHeight="1" x14ac:dyDescent="0.2">
      <c r="A74" s="197"/>
      <c r="B74" s="187"/>
      <c r="C74" s="339" t="s">
        <v>428</v>
      </c>
      <c r="D74" s="340"/>
      <c r="E74" s="340"/>
      <c r="F74" s="341"/>
      <c r="G74" s="140" t="s">
        <v>2</v>
      </c>
      <c r="H74" s="141" t="s">
        <v>2</v>
      </c>
      <c r="I74" s="219"/>
      <c r="J74" s="239"/>
      <c r="K74" s="265"/>
    </row>
    <row r="75" spans="1:11" s="139" customFormat="1" ht="33.75" customHeight="1" x14ac:dyDescent="0.2">
      <c r="A75" s="197" t="s">
        <v>364</v>
      </c>
      <c r="B75" s="187" t="s">
        <v>327</v>
      </c>
      <c r="C75" s="342" t="s">
        <v>434</v>
      </c>
      <c r="D75" s="342"/>
      <c r="E75" s="342"/>
      <c r="F75" s="342"/>
      <c r="G75" s="140" t="s">
        <v>210</v>
      </c>
      <c r="H75" s="141">
        <f>197*4.7+6*18+35*1.5</f>
        <v>1086.4000000000001</v>
      </c>
      <c r="I75" s="219">
        <v>0</v>
      </c>
      <c r="J75" s="239">
        <f>I75*H75</f>
        <v>0</v>
      </c>
      <c r="K75" s="265"/>
    </row>
    <row r="76" spans="1:11" s="139" customFormat="1" ht="59.25" hidden="1" customHeight="1" x14ac:dyDescent="0.2">
      <c r="A76" s="197"/>
      <c r="B76" s="187"/>
      <c r="C76" s="336" t="s">
        <v>406</v>
      </c>
      <c r="D76" s="337"/>
      <c r="E76" s="337"/>
      <c r="F76" s="338"/>
      <c r="G76" s="140" t="s">
        <v>2</v>
      </c>
      <c r="H76" s="140"/>
      <c r="I76" s="219"/>
      <c r="J76" s="239" t="s">
        <v>2</v>
      </c>
      <c r="K76" s="265"/>
    </row>
    <row r="77" spans="1:11" s="139" customFormat="1" ht="24.75" customHeight="1" x14ac:dyDescent="0.2">
      <c r="A77" s="171" t="s">
        <v>2</v>
      </c>
      <c r="B77" s="171" t="s">
        <v>328</v>
      </c>
      <c r="C77" s="321" t="s">
        <v>287</v>
      </c>
      <c r="D77" s="321"/>
      <c r="E77" s="321"/>
      <c r="F77" s="321"/>
      <c r="G77" s="321"/>
      <c r="H77" s="321"/>
      <c r="I77" s="321"/>
      <c r="J77" s="321"/>
      <c r="K77" s="252"/>
    </row>
    <row r="78" spans="1:11" s="139" customFormat="1" ht="42.75" customHeight="1" x14ac:dyDescent="0.2">
      <c r="A78" s="195" t="s">
        <v>365</v>
      </c>
      <c r="B78" s="215" t="s">
        <v>329</v>
      </c>
      <c r="C78" s="343" t="s">
        <v>407</v>
      </c>
      <c r="D78" s="343"/>
      <c r="E78" s="343"/>
      <c r="F78" s="343"/>
      <c r="G78" s="178" t="s">
        <v>210</v>
      </c>
      <c r="H78" s="179">
        <f>197*5.2+35*1.5</f>
        <v>1076.9000000000001</v>
      </c>
      <c r="I78" s="219">
        <v>0</v>
      </c>
      <c r="J78" s="239">
        <f>I78*H78</f>
        <v>0</v>
      </c>
      <c r="K78" s="263"/>
    </row>
    <row r="79" spans="1:11" s="139" customFormat="1" ht="100.5" hidden="1" customHeight="1" x14ac:dyDescent="0.2">
      <c r="A79" s="195"/>
      <c r="B79" s="215"/>
      <c r="C79" s="336" t="s">
        <v>408</v>
      </c>
      <c r="D79" s="337"/>
      <c r="E79" s="337"/>
      <c r="F79" s="338"/>
      <c r="G79" s="140" t="s">
        <v>2</v>
      </c>
      <c r="H79" s="140"/>
      <c r="I79" s="219"/>
      <c r="J79" s="239" t="s">
        <v>2</v>
      </c>
      <c r="K79" s="265"/>
    </row>
    <row r="80" spans="1:11" s="139" customFormat="1" ht="24.75" hidden="1" customHeight="1" x14ac:dyDescent="0.2">
      <c r="A80" s="317" t="s">
        <v>257</v>
      </c>
      <c r="B80" s="317"/>
      <c r="C80" s="317"/>
      <c r="D80" s="317"/>
      <c r="E80" s="317"/>
      <c r="F80" s="317"/>
      <c r="G80" s="317"/>
      <c r="H80" s="317"/>
      <c r="I80" s="317"/>
      <c r="J80" s="317"/>
      <c r="K80" s="261"/>
    </row>
    <row r="81" spans="1:101" s="139" customFormat="1" ht="24.75" customHeight="1" x14ac:dyDescent="0.2">
      <c r="A81" s="317" t="s">
        <v>257</v>
      </c>
      <c r="B81" s="317"/>
      <c r="C81" s="317"/>
      <c r="D81" s="317"/>
      <c r="E81" s="317"/>
      <c r="F81" s="317"/>
      <c r="G81" s="317"/>
      <c r="H81" s="317"/>
      <c r="I81" s="317"/>
      <c r="J81" s="233">
        <f>J78+J75+J73+J70+J67</f>
        <v>0</v>
      </c>
      <c r="K81" s="261"/>
    </row>
    <row r="82" spans="1:101" s="139" customFormat="1" ht="27.75" customHeight="1" x14ac:dyDescent="0.2">
      <c r="A82" s="198" t="s">
        <v>15</v>
      </c>
      <c r="B82" s="198" t="s">
        <v>238</v>
      </c>
      <c r="C82" s="320" t="s">
        <v>239</v>
      </c>
      <c r="D82" s="320"/>
      <c r="E82" s="320"/>
      <c r="F82" s="320"/>
      <c r="G82" s="320"/>
      <c r="H82" s="320"/>
      <c r="I82" s="320"/>
      <c r="J82" s="320"/>
      <c r="K82" s="251"/>
    </row>
    <row r="83" spans="1:101" s="139" customFormat="1" ht="21.75" hidden="1" customHeight="1" x14ac:dyDescent="0.2">
      <c r="A83" s="210" t="s">
        <v>2</v>
      </c>
      <c r="B83" s="210" t="s">
        <v>240</v>
      </c>
      <c r="C83" s="335" t="s">
        <v>241</v>
      </c>
      <c r="D83" s="335"/>
      <c r="E83" s="335"/>
      <c r="F83" s="335"/>
      <c r="G83" s="155"/>
      <c r="H83" s="155"/>
      <c r="I83" s="229"/>
      <c r="J83" s="229"/>
      <c r="K83" s="267"/>
    </row>
    <row r="84" spans="1:101" s="139" customFormat="1" ht="20.25" hidden="1" customHeight="1" x14ac:dyDescent="0.2">
      <c r="A84" s="214">
        <v>54</v>
      </c>
      <c r="B84" s="214" t="s">
        <v>242</v>
      </c>
      <c r="C84" s="151" t="s">
        <v>243</v>
      </c>
      <c r="D84" s="145" t="s">
        <v>215</v>
      </c>
      <c r="E84" s="146" t="s">
        <v>2</v>
      </c>
      <c r="F84" s="146">
        <f>SUM(E85:E85)</f>
        <v>475</v>
      </c>
      <c r="G84" s="155"/>
      <c r="H84" s="155"/>
      <c r="I84" s="229"/>
      <c r="J84" s="229"/>
      <c r="K84" s="267"/>
    </row>
    <row r="85" spans="1:101" s="139" customFormat="1" ht="41.25" hidden="1" customHeight="1" x14ac:dyDescent="0.2">
      <c r="A85" s="214"/>
      <c r="B85" s="216"/>
      <c r="C85" s="152" t="s">
        <v>244</v>
      </c>
      <c r="D85" s="153" t="s">
        <v>216</v>
      </c>
      <c r="E85" s="154">
        <v>475</v>
      </c>
      <c r="F85" s="146" t="s">
        <v>2</v>
      </c>
      <c r="G85" s="155"/>
      <c r="H85" s="155"/>
      <c r="I85" s="229"/>
      <c r="J85" s="229"/>
      <c r="K85" s="267"/>
    </row>
    <row r="86" spans="1:101" s="139" customFormat="1" ht="18" hidden="1" customHeight="1" x14ac:dyDescent="0.2">
      <c r="A86" s="171" t="s">
        <v>2</v>
      </c>
      <c r="B86" s="171" t="s">
        <v>245</v>
      </c>
      <c r="C86" s="321" t="s">
        <v>246</v>
      </c>
      <c r="D86" s="321"/>
      <c r="E86" s="321"/>
      <c r="F86" s="321"/>
      <c r="G86" s="321"/>
      <c r="H86" s="321"/>
      <c r="I86" s="321"/>
      <c r="J86" s="321"/>
      <c r="K86" s="252"/>
    </row>
    <row r="87" spans="1:101" s="139" customFormat="1" ht="20.25" hidden="1" customHeight="1" x14ac:dyDescent="0.2">
      <c r="A87" s="197" t="s">
        <v>292</v>
      </c>
      <c r="B87" s="197"/>
      <c r="C87" s="147" t="s">
        <v>288</v>
      </c>
      <c r="D87" s="140" t="s">
        <v>210</v>
      </c>
      <c r="E87" s="141" t="s">
        <v>2</v>
      </c>
      <c r="F87" s="158">
        <v>0</v>
      </c>
      <c r="G87" s="126">
        <v>33</v>
      </c>
      <c r="H87" s="126"/>
      <c r="I87" s="220"/>
      <c r="J87" s="220"/>
      <c r="K87" s="266"/>
    </row>
    <row r="88" spans="1:101" s="139" customFormat="1" ht="38.25" hidden="1" x14ac:dyDescent="0.2">
      <c r="A88" s="230"/>
      <c r="B88" s="217"/>
      <c r="C88" s="148" t="s">
        <v>247</v>
      </c>
      <c r="D88" s="149" t="s">
        <v>211</v>
      </c>
      <c r="E88" s="150">
        <f>'[1]1.1. Zjazdy indywidualne'!V12</f>
        <v>138.9</v>
      </c>
      <c r="F88" s="150" t="s">
        <v>2</v>
      </c>
      <c r="G88" s="155"/>
      <c r="H88" s="155"/>
      <c r="I88" s="229"/>
      <c r="J88" s="229"/>
      <c r="K88" s="267"/>
    </row>
    <row r="89" spans="1:101" s="139" customFormat="1" ht="19.5" hidden="1" customHeight="1" x14ac:dyDescent="0.2">
      <c r="A89" s="210">
        <v>56</v>
      </c>
      <c r="B89" s="171" t="s">
        <v>248</v>
      </c>
      <c r="C89" s="335" t="s">
        <v>249</v>
      </c>
      <c r="D89" s="335"/>
      <c r="E89" s="335"/>
      <c r="F89" s="335"/>
      <c r="G89" s="155"/>
      <c r="H89" s="155"/>
      <c r="I89" s="229"/>
      <c r="J89" s="229"/>
      <c r="K89" s="267"/>
    </row>
    <row r="90" spans="1:101" s="139" customFormat="1" ht="21.75" hidden="1" customHeight="1" x14ac:dyDescent="0.2">
      <c r="A90" s="214"/>
      <c r="B90" s="197" t="s">
        <v>250</v>
      </c>
      <c r="C90" s="151" t="s">
        <v>251</v>
      </c>
      <c r="D90" s="145" t="s">
        <v>215</v>
      </c>
      <c r="E90" s="146" t="s">
        <v>2</v>
      </c>
      <c r="F90" s="146">
        <f>SUM(E91:E91)</f>
        <v>114</v>
      </c>
      <c r="G90" s="155"/>
      <c r="H90" s="155"/>
      <c r="I90" s="229"/>
      <c r="J90" s="229"/>
      <c r="K90" s="267"/>
    </row>
    <row r="91" spans="1:101" s="139" customFormat="1" ht="42" hidden="1" customHeight="1" x14ac:dyDescent="0.2">
      <c r="A91" s="230"/>
      <c r="B91" s="217"/>
      <c r="C91" s="152" t="s">
        <v>252</v>
      </c>
      <c r="D91" s="153" t="s">
        <v>216</v>
      </c>
      <c r="E91" s="154">
        <v>114</v>
      </c>
      <c r="F91" s="146" t="s">
        <v>2</v>
      </c>
      <c r="G91" s="155"/>
      <c r="H91" s="155"/>
      <c r="I91" s="229"/>
      <c r="J91" s="229"/>
      <c r="K91" s="267"/>
    </row>
    <row r="92" spans="1:101" s="160" customFormat="1" ht="18.75" customHeight="1" x14ac:dyDescent="0.2">
      <c r="A92" s="171" t="s">
        <v>2</v>
      </c>
      <c r="B92" s="171" t="s">
        <v>253</v>
      </c>
      <c r="C92" s="321" t="s">
        <v>254</v>
      </c>
      <c r="D92" s="321"/>
      <c r="E92" s="321"/>
      <c r="F92" s="321"/>
      <c r="G92" s="321"/>
      <c r="H92" s="321"/>
      <c r="I92" s="321"/>
      <c r="J92" s="321"/>
      <c r="K92" s="252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59"/>
      <c r="Z92" s="159"/>
      <c r="AA92" s="159"/>
      <c r="AB92" s="159"/>
      <c r="AC92" s="159"/>
      <c r="AD92" s="159"/>
      <c r="AE92" s="159"/>
      <c r="AF92" s="159"/>
      <c r="AG92" s="159"/>
      <c r="AH92" s="159"/>
      <c r="AI92" s="159"/>
      <c r="AJ92" s="159"/>
      <c r="AK92" s="159"/>
      <c r="AL92" s="159"/>
      <c r="AM92" s="159"/>
      <c r="AN92" s="159"/>
      <c r="AO92" s="159"/>
      <c r="AP92" s="159"/>
      <c r="AQ92" s="159"/>
      <c r="AR92" s="159"/>
      <c r="AS92" s="159"/>
      <c r="AT92" s="159"/>
      <c r="AU92" s="159"/>
      <c r="AV92" s="159"/>
      <c r="AW92" s="159"/>
      <c r="AX92" s="159"/>
      <c r="AY92" s="159"/>
      <c r="AZ92" s="159"/>
      <c r="BA92" s="159"/>
      <c r="BB92" s="159"/>
      <c r="BC92" s="159"/>
      <c r="BD92" s="159"/>
      <c r="BE92" s="159"/>
      <c r="BF92" s="159"/>
      <c r="BG92" s="159"/>
      <c r="BH92" s="159"/>
      <c r="BI92" s="159"/>
      <c r="BJ92" s="159"/>
      <c r="BK92" s="159"/>
      <c r="BL92" s="159"/>
      <c r="BM92" s="159"/>
      <c r="BN92" s="159"/>
      <c r="BO92" s="159"/>
      <c r="BP92" s="159"/>
      <c r="BQ92" s="159"/>
      <c r="BR92" s="159"/>
      <c r="BS92" s="159"/>
      <c r="BT92" s="159"/>
      <c r="BU92" s="159"/>
      <c r="BV92" s="159"/>
      <c r="BW92" s="159"/>
      <c r="BX92" s="159"/>
      <c r="BY92" s="159"/>
      <c r="BZ92" s="159"/>
      <c r="CA92" s="159"/>
      <c r="CB92" s="159"/>
      <c r="CC92" s="159"/>
      <c r="CD92" s="159"/>
      <c r="CE92" s="159"/>
      <c r="CF92" s="159"/>
      <c r="CG92" s="159"/>
      <c r="CH92" s="159"/>
      <c r="CI92" s="159"/>
      <c r="CJ92" s="159"/>
      <c r="CK92" s="159"/>
      <c r="CL92" s="159"/>
      <c r="CM92" s="159"/>
      <c r="CN92" s="159"/>
      <c r="CO92" s="159"/>
      <c r="CP92" s="159"/>
      <c r="CQ92" s="159"/>
      <c r="CR92" s="159"/>
      <c r="CS92" s="159"/>
      <c r="CT92" s="159"/>
      <c r="CU92" s="159"/>
      <c r="CV92" s="159"/>
      <c r="CW92" s="159"/>
    </row>
    <row r="93" spans="1:101" s="160" customFormat="1" ht="38.25" hidden="1" customHeight="1" x14ac:dyDescent="0.2">
      <c r="A93" s="196"/>
      <c r="B93" s="181"/>
      <c r="C93" s="176" t="s">
        <v>306</v>
      </c>
      <c r="D93" s="118" t="e">
        <f>#REF!</f>
        <v>#REF!</v>
      </c>
      <c r="E93" s="177" t="s">
        <v>256</v>
      </c>
      <c r="F93" s="118" t="s">
        <v>307</v>
      </c>
      <c r="G93" s="149"/>
      <c r="H93" s="149"/>
      <c r="I93" s="276"/>
      <c r="J93" s="241"/>
      <c r="K93" s="268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59"/>
      <c r="Z93" s="159"/>
      <c r="AA93" s="159"/>
      <c r="AB93" s="159"/>
      <c r="AC93" s="159"/>
      <c r="AD93" s="159"/>
      <c r="AE93" s="159"/>
      <c r="AF93" s="159"/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59"/>
      <c r="AU93" s="159"/>
      <c r="AV93" s="159"/>
      <c r="AW93" s="159"/>
      <c r="AX93" s="159"/>
      <c r="AY93" s="159"/>
      <c r="AZ93" s="159"/>
      <c r="BA93" s="159"/>
      <c r="BB93" s="159"/>
      <c r="BC93" s="159"/>
      <c r="BD93" s="159"/>
      <c r="BE93" s="159"/>
      <c r="BF93" s="159"/>
      <c r="BG93" s="159"/>
      <c r="BH93" s="159"/>
      <c r="BI93" s="159"/>
      <c r="BJ93" s="159"/>
      <c r="BK93" s="159"/>
      <c r="BL93" s="159"/>
      <c r="BM93" s="159"/>
      <c r="BN93" s="159"/>
      <c r="BO93" s="159"/>
      <c r="BP93" s="159"/>
      <c r="BQ93" s="159"/>
      <c r="BR93" s="159"/>
      <c r="BS93" s="159"/>
      <c r="BT93" s="159"/>
      <c r="BU93" s="159"/>
      <c r="BV93" s="159"/>
      <c r="BW93" s="159"/>
      <c r="BX93" s="159"/>
      <c r="BY93" s="159"/>
      <c r="BZ93" s="159"/>
      <c r="CA93" s="159"/>
      <c r="CB93" s="159"/>
      <c r="CC93" s="159"/>
      <c r="CD93" s="159"/>
      <c r="CE93" s="159"/>
      <c r="CF93" s="159"/>
      <c r="CG93" s="159"/>
      <c r="CH93" s="159"/>
      <c r="CI93" s="159"/>
      <c r="CJ93" s="159"/>
      <c r="CK93" s="159"/>
      <c r="CL93" s="159"/>
      <c r="CM93" s="159"/>
      <c r="CN93" s="159"/>
      <c r="CO93" s="159"/>
      <c r="CP93" s="159"/>
      <c r="CQ93" s="159"/>
      <c r="CR93" s="159"/>
      <c r="CS93" s="159"/>
      <c r="CT93" s="159"/>
      <c r="CU93" s="159"/>
      <c r="CV93" s="159"/>
      <c r="CW93" s="159"/>
    </row>
    <row r="94" spans="1:101" s="160" customFormat="1" ht="42.75" hidden="1" customHeight="1" x14ac:dyDescent="0.2">
      <c r="A94" s="197">
        <v>46</v>
      </c>
      <c r="B94" s="195" t="s">
        <v>315</v>
      </c>
      <c r="C94" s="322" t="s">
        <v>316</v>
      </c>
      <c r="D94" s="322"/>
      <c r="E94" s="322"/>
      <c r="F94" s="322"/>
      <c r="G94" s="140" t="s">
        <v>210</v>
      </c>
      <c r="H94" s="140"/>
      <c r="I94" s="219"/>
      <c r="J94" s="239" t="s">
        <v>2</v>
      </c>
      <c r="K94" s="265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59"/>
      <c r="Z94" s="159"/>
      <c r="AA94" s="159"/>
      <c r="AB94" s="159"/>
      <c r="AC94" s="159"/>
      <c r="AD94" s="159"/>
      <c r="AE94" s="159"/>
      <c r="AF94" s="159"/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59"/>
      <c r="AU94" s="159"/>
      <c r="AV94" s="159"/>
      <c r="AW94" s="159"/>
      <c r="AX94" s="159"/>
      <c r="AY94" s="159"/>
      <c r="AZ94" s="159"/>
      <c r="BA94" s="159"/>
      <c r="BB94" s="159"/>
      <c r="BC94" s="159"/>
      <c r="BD94" s="159"/>
      <c r="BE94" s="159"/>
      <c r="BF94" s="159"/>
      <c r="BG94" s="159"/>
      <c r="BH94" s="159"/>
      <c r="BI94" s="159"/>
      <c r="BJ94" s="159"/>
      <c r="BK94" s="159"/>
      <c r="BL94" s="159"/>
      <c r="BM94" s="159"/>
      <c r="BN94" s="159"/>
      <c r="BO94" s="159"/>
      <c r="BP94" s="159"/>
      <c r="BQ94" s="159"/>
      <c r="BR94" s="159"/>
      <c r="BS94" s="159"/>
      <c r="BT94" s="159"/>
      <c r="BU94" s="159"/>
      <c r="BV94" s="159"/>
      <c r="BW94" s="159"/>
      <c r="BX94" s="159"/>
      <c r="BY94" s="159"/>
      <c r="BZ94" s="159"/>
      <c r="CA94" s="159"/>
      <c r="CB94" s="159"/>
      <c r="CC94" s="159"/>
      <c r="CD94" s="159"/>
      <c r="CE94" s="159"/>
      <c r="CF94" s="159"/>
      <c r="CG94" s="159"/>
      <c r="CH94" s="159"/>
      <c r="CI94" s="159"/>
      <c r="CJ94" s="159"/>
      <c r="CK94" s="159"/>
      <c r="CL94" s="159"/>
      <c r="CM94" s="159"/>
      <c r="CN94" s="159"/>
      <c r="CO94" s="159"/>
      <c r="CP94" s="159"/>
      <c r="CQ94" s="159"/>
      <c r="CR94" s="159"/>
      <c r="CS94" s="159"/>
      <c r="CT94" s="159"/>
      <c r="CU94" s="159"/>
      <c r="CV94" s="159"/>
      <c r="CW94" s="159"/>
    </row>
    <row r="95" spans="1:101" s="160" customFormat="1" ht="27" hidden="1" customHeight="1" x14ac:dyDescent="0.2">
      <c r="A95" s="214"/>
      <c r="B95" s="206"/>
      <c r="C95" s="151"/>
      <c r="D95" s="145"/>
      <c r="E95" s="146"/>
      <c r="F95" s="161"/>
      <c r="G95" s="134"/>
      <c r="H95" s="134"/>
      <c r="I95" s="228"/>
      <c r="J95" s="228"/>
      <c r="K95" s="26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  <c r="AE95" s="159"/>
      <c r="AF95" s="159"/>
      <c r="AG95" s="159"/>
      <c r="AH95" s="159"/>
      <c r="AI95" s="159"/>
      <c r="AJ95" s="159"/>
      <c r="AK95" s="159"/>
      <c r="AL95" s="159"/>
      <c r="AM95" s="159"/>
      <c r="AN95" s="159"/>
      <c r="AO95" s="159"/>
      <c r="AP95" s="159"/>
      <c r="AQ95" s="159"/>
      <c r="AR95" s="159"/>
      <c r="AS95" s="159"/>
      <c r="AT95" s="159"/>
      <c r="AU95" s="159"/>
      <c r="AV95" s="159"/>
      <c r="AW95" s="159"/>
      <c r="AX95" s="159"/>
      <c r="AY95" s="159"/>
      <c r="AZ95" s="159"/>
      <c r="BA95" s="159"/>
      <c r="BB95" s="159"/>
      <c r="BC95" s="159"/>
      <c r="BD95" s="159"/>
      <c r="BE95" s="159"/>
      <c r="BF95" s="159"/>
      <c r="BG95" s="159"/>
      <c r="BH95" s="159"/>
      <c r="BI95" s="159"/>
      <c r="BJ95" s="159"/>
      <c r="BK95" s="159"/>
      <c r="BL95" s="159"/>
      <c r="BM95" s="159"/>
      <c r="BN95" s="159"/>
      <c r="BO95" s="159"/>
      <c r="BP95" s="159"/>
      <c r="BQ95" s="159"/>
      <c r="BR95" s="159"/>
      <c r="BS95" s="159"/>
      <c r="BT95" s="159"/>
      <c r="BU95" s="159"/>
      <c r="BV95" s="159"/>
      <c r="BW95" s="159"/>
      <c r="BX95" s="159"/>
      <c r="BY95" s="159"/>
      <c r="BZ95" s="159"/>
      <c r="CA95" s="159"/>
      <c r="CB95" s="159"/>
      <c r="CC95" s="159"/>
      <c r="CD95" s="159"/>
      <c r="CE95" s="159"/>
      <c r="CF95" s="159"/>
      <c r="CG95" s="159"/>
      <c r="CH95" s="159"/>
      <c r="CI95" s="159"/>
      <c r="CJ95" s="159"/>
      <c r="CK95" s="159"/>
      <c r="CL95" s="159"/>
      <c r="CM95" s="159"/>
      <c r="CN95" s="159"/>
      <c r="CO95" s="159"/>
      <c r="CP95" s="159"/>
      <c r="CQ95" s="159"/>
      <c r="CR95" s="159"/>
      <c r="CS95" s="159"/>
      <c r="CT95" s="159"/>
      <c r="CU95" s="159"/>
      <c r="CV95" s="159"/>
      <c r="CW95" s="159"/>
    </row>
    <row r="96" spans="1:101" s="160" customFormat="1" ht="26.25" hidden="1" customHeight="1" x14ac:dyDescent="0.2">
      <c r="A96" s="230"/>
      <c r="B96" s="217"/>
      <c r="C96" s="152"/>
      <c r="D96" s="153"/>
      <c r="E96" s="154"/>
      <c r="F96" s="146"/>
      <c r="G96" s="134"/>
      <c r="H96" s="134"/>
      <c r="I96" s="228"/>
      <c r="J96" s="228"/>
      <c r="K96" s="26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  <c r="AC96" s="159"/>
      <c r="AD96" s="159"/>
      <c r="AE96" s="159"/>
      <c r="AF96" s="159"/>
      <c r="AG96" s="159"/>
      <c r="AH96" s="159"/>
      <c r="AI96" s="159"/>
      <c r="AJ96" s="159"/>
      <c r="AK96" s="159"/>
      <c r="AL96" s="159"/>
      <c r="AM96" s="159"/>
      <c r="AN96" s="159"/>
      <c r="AO96" s="159"/>
      <c r="AP96" s="159"/>
      <c r="AQ96" s="159"/>
      <c r="AR96" s="159"/>
      <c r="AS96" s="159"/>
      <c r="AT96" s="159"/>
      <c r="AU96" s="159"/>
      <c r="AV96" s="159"/>
      <c r="AW96" s="159"/>
      <c r="AX96" s="159"/>
      <c r="AY96" s="159"/>
      <c r="AZ96" s="159"/>
      <c r="BA96" s="159"/>
      <c r="BB96" s="159"/>
      <c r="BC96" s="159"/>
      <c r="BD96" s="159"/>
      <c r="BE96" s="159"/>
      <c r="BF96" s="159"/>
      <c r="BG96" s="159"/>
      <c r="BH96" s="159"/>
      <c r="BI96" s="159"/>
      <c r="BJ96" s="159"/>
      <c r="BK96" s="159"/>
      <c r="BL96" s="159"/>
      <c r="BM96" s="159"/>
      <c r="BN96" s="159"/>
      <c r="BO96" s="159"/>
      <c r="BP96" s="159"/>
      <c r="BQ96" s="159"/>
      <c r="BR96" s="159"/>
      <c r="BS96" s="159"/>
      <c r="BT96" s="159"/>
      <c r="BU96" s="159"/>
      <c r="BV96" s="159"/>
      <c r="BW96" s="159"/>
      <c r="BX96" s="159"/>
      <c r="BY96" s="159"/>
      <c r="BZ96" s="159"/>
      <c r="CA96" s="159"/>
      <c r="CB96" s="159"/>
      <c r="CC96" s="159"/>
      <c r="CD96" s="159"/>
      <c r="CE96" s="159"/>
      <c r="CF96" s="159"/>
      <c r="CG96" s="159"/>
      <c r="CH96" s="159"/>
      <c r="CI96" s="159"/>
      <c r="CJ96" s="159"/>
      <c r="CK96" s="159"/>
      <c r="CL96" s="159"/>
      <c r="CM96" s="159"/>
      <c r="CN96" s="159"/>
      <c r="CO96" s="159"/>
      <c r="CP96" s="159"/>
      <c r="CQ96" s="159"/>
      <c r="CR96" s="159"/>
      <c r="CS96" s="159"/>
      <c r="CT96" s="159"/>
      <c r="CU96" s="159"/>
      <c r="CV96" s="159"/>
      <c r="CW96" s="159"/>
    </row>
    <row r="97" spans="1:101" s="183" customFormat="1" ht="30.75" customHeight="1" x14ac:dyDescent="0.2">
      <c r="A97" s="197" t="s">
        <v>366</v>
      </c>
      <c r="B97" s="195" t="s">
        <v>315</v>
      </c>
      <c r="C97" s="322" t="s">
        <v>420</v>
      </c>
      <c r="D97" s="322"/>
      <c r="E97" s="322"/>
      <c r="F97" s="322"/>
      <c r="G97" s="140" t="s">
        <v>210</v>
      </c>
      <c r="H97" s="141">
        <f>197*3.7+25*1.6+2*7+90</f>
        <v>872.9</v>
      </c>
      <c r="I97" s="219">
        <v>0</v>
      </c>
      <c r="J97" s="239">
        <f>I97*H97</f>
        <v>0</v>
      </c>
      <c r="K97" s="265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2"/>
      <c r="AH97" s="182"/>
      <c r="AI97" s="182"/>
      <c r="AJ97" s="182"/>
      <c r="AK97" s="182"/>
      <c r="AL97" s="182"/>
      <c r="AM97" s="182"/>
      <c r="AN97" s="182"/>
      <c r="AO97" s="182"/>
      <c r="AP97" s="182"/>
      <c r="AQ97" s="182"/>
      <c r="AR97" s="182"/>
      <c r="AS97" s="182"/>
      <c r="AT97" s="182"/>
      <c r="AU97" s="182"/>
      <c r="AV97" s="182"/>
      <c r="AW97" s="182"/>
      <c r="AX97" s="182"/>
      <c r="AY97" s="182"/>
      <c r="AZ97" s="182"/>
      <c r="BA97" s="182"/>
      <c r="BB97" s="182"/>
      <c r="BC97" s="182"/>
      <c r="BD97" s="182"/>
      <c r="BE97" s="182"/>
      <c r="BF97" s="182"/>
      <c r="BG97" s="182"/>
      <c r="BH97" s="182"/>
      <c r="BI97" s="182"/>
    </row>
    <row r="98" spans="1:101" s="163" customFormat="1" ht="51" hidden="1" customHeight="1" x14ac:dyDescent="0.2">
      <c r="A98" s="230"/>
      <c r="B98" s="216"/>
      <c r="C98" s="332" t="s">
        <v>421</v>
      </c>
      <c r="D98" s="333"/>
      <c r="E98" s="333"/>
      <c r="F98" s="334"/>
      <c r="G98" s="149" t="s">
        <v>2</v>
      </c>
      <c r="H98" s="150" t="s">
        <v>2</v>
      </c>
      <c r="I98" s="276"/>
      <c r="J98" s="241"/>
      <c r="K98" s="268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  <c r="AC98" s="162"/>
      <c r="AD98" s="162"/>
      <c r="AE98" s="162"/>
      <c r="AF98" s="162"/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  <c r="BI98" s="162"/>
      <c r="BJ98" s="162"/>
      <c r="BK98" s="162"/>
      <c r="BL98" s="162"/>
      <c r="BM98" s="162"/>
      <c r="BN98" s="162"/>
      <c r="BO98" s="162"/>
      <c r="BP98" s="162"/>
      <c r="BQ98" s="162"/>
      <c r="BR98" s="162"/>
      <c r="BS98" s="162"/>
      <c r="BT98" s="162"/>
      <c r="BU98" s="162"/>
      <c r="BV98" s="162"/>
      <c r="BW98" s="162"/>
      <c r="BX98" s="162"/>
      <c r="BY98" s="162"/>
      <c r="BZ98" s="162"/>
      <c r="CA98" s="162"/>
      <c r="CB98" s="162"/>
      <c r="CC98" s="162"/>
      <c r="CD98" s="162"/>
      <c r="CE98" s="162"/>
      <c r="CF98" s="162"/>
      <c r="CG98" s="162"/>
      <c r="CH98" s="162"/>
      <c r="CI98" s="162"/>
      <c r="CJ98" s="162"/>
      <c r="CK98" s="162"/>
      <c r="CL98" s="162"/>
      <c r="CM98" s="162"/>
      <c r="CN98" s="162"/>
      <c r="CO98" s="162"/>
      <c r="CP98" s="162"/>
      <c r="CQ98" s="162"/>
      <c r="CR98" s="162"/>
      <c r="CS98" s="162"/>
      <c r="CT98" s="162"/>
      <c r="CU98" s="162"/>
      <c r="CV98" s="162"/>
      <c r="CW98" s="162"/>
    </row>
    <row r="99" spans="1:101" s="160" customFormat="1" ht="34.5" customHeight="1" x14ac:dyDescent="0.2">
      <c r="A99" s="197" t="s">
        <v>367</v>
      </c>
      <c r="B99" s="195" t="s">
        <v>255</v>
      </c>
      <c r="C99" s="322" t="s">
        <v>423</v>
      </c>
      <c r="D99" s="322"/>
      <c r="E99" s="322"/>
      <c r="F99" s="322"/>
      <c r="G99" s="140" t="s">
        <v>210</v>
      </c>
      <c r="H99" s="141">
        <f>197*3.5+25*1.5+2*7+87</f>
        <v>828</v>
      </c>
      <c r="I99" s="219">
        <v>0</v>
      </c>
      <c r="J99" s="239">
        <f>I99*H99</f>
        <v>0</v>
      </c>
      <c r="K99" s="265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9"/>
      <c r="Z99" s="159"/>
      <c r="AA99" s="159"/>
      <c r="AB99" s="159"/>
      <c r="AC99" s="159"/>
      <c r="AD99" s="159"/>
      <c r="AE99" s="159"/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59"/>
      <c r="AU99" s="159"/>
      <c r="AV99" s="159"/>
      <c r="AW99" s="159"/>
      <c r="AX99" s="159"/>
      <c r="AY99" s="159"/>
      <c r="AZ99" s="159"/>
      <c r="BA99" s="159"/>
      <c r="BB99" s="159"/>
      <c r="BC99" s="159"/>
      <c r="BD99" s="159"/>
      <c r="BE99" s="159"/>
      <c r="BF99" s="159"/>
      <c r="BG99" s="159"/>
      <c r="BH99" s="159"/>
      <c r="BI99" s="159"/>
      <c r="BJ99" s="159"/>
      <c r="BK99" s="159"/>
      <c r="BL99" s="159"/>
      <c r="BM99" s="159"/>
      <c r="BN99" s="159"/>
      <c r="BO99" s="159"/>
      <c r="BP99" s="159"/>
      <c r="BQ99" s="159"/>
      <c r="BR99" s="159"/>
      <c r="BS99" s="159"/>
      <c r="BT99" s="159"/>
      <c r="BU99" s="159"/>
      <c r="BV99" s="159"/>
      <c r="BW99" s="159"/>
      <c r="BX99" s="159"/>
      <c r="BY99" s="159"/>
      <c r="BZ99" s="159"/>
      <c r="CA99" s="159"/>
      <c r="CB99" s="159"/>
      <c r="CC99" s="159"/>
      <c r="CD99" s="159"/>
      <c r="CE99" s="159"/>
      <c r="CF99" s="159"/>
      <c r="CG99" s="159"/>
      <c r="CH99" s="159"/>
      <c r="CI99" s="159"/>
      <c r="CJ99" s="159"/>
      <c r="CK99" s="159"/>
      <c r="CL99" s="159"/>
      <c r="CM99" s="159"/>
      <c r="CN99" s="159"/>
      <c r="CO99" s="159"/>
      <c r="CP99" s="159"/>
      <c r="CQ99" s="159"/>
      <c r="CR99" s="159"/>
      <c r="CS99" s="159"/>
      <c r="CT99" s="159"/>
      <c r="CU99" s="159"/>
      <c r="CV99" s="159"/>
      <c r="CW99" s="159"/>
    </row>
    <row r="100" spans="1:101" s="160" customFormat="1" ht="54.75" hidden="1" customHeight="1" x14ac:dyDescent="0.2">
      <c r="A100" s="197"/>
      <c r="B100" s="195"/>
      <c r="C100" s="332" t="s">
        <v>422</v>
      </c>
      <c r="D100" s="333"/>
      <c r="E100" s="333"/>
      <c r="F100" s="334"/>
      <c r="G100" s="149" t="s">
        <v>2</v>
      </c>
      <c r="H100" s="149"/>
      <c r="I100" s="276"/>
      <c r="J100" s="241" t="s">
        <v>2</v>
      </c>
      <c r="K100" s="268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59"/>
      <c r="Z100" s="159"/>
      <c r="AA100" s="159"/>
      <c r="AB100" s="159"/>
      <c r="AC100" s="159"/>
      <c r="AD100" s="159"/>
      <c r="AE100" s="159"/>
      <c r="AF100" s="159"/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59"/>
      <c r="AU100" s="159"/>
      <c r="AV100" s="159"/>
      <c r="AW100" s="159"/>
      <c r="AX100" s="159"/>
      <c r="AY100" s="159"/>
      <c r="AZ100" s="159"/>
      <c r="BA100" s="159"/>
      <c r="BB100" s="159"/>
      <c r="BC100" s="159"/>
      <c r="BD100" s="159"/>
      <c r="BE100" s="159"/>
      <c r="BF100" s="159"/>
      <c r="BG100" s="159"/>
      <c r="BH100" s="159"/>
      <c r="BI100" s="159"/>
      <c r="BJ100" s="159"/>
      <c r="BK100" s="159"/>
      <c r="BL100" s="159"/>
      <c r="BM100" s="159"/>
      <c r="BN100" s="159"/>
      <c r="BO100" s="159"/>
      <c r="BP100" s="159"/>
      <c r="BQ100" s="159"/>
      <c r="BR100" s="159"/>
      <c r="BS100" s="159"/>
      <c r="BT100" s="159"/>
      <c r="BU100" s="159"/>
      <c r="BV100" s="159"/>
      <c r="BW100" s="159"/>
      <c r="BX100" s="159"/>
      <c r="BY100" s="159"/>
      <c r="BZ100" s="159"/>
      <c r="CA100" s="159"/>
      <c r="CB100" s="159"/>
      <c r="CC100" s="159"/>
      <c r="CD100" s="159"/>
      <c r="CE100" s="159"/>
      <c r="CF100" s="159"/>
      <c r="CG100" s="159"/>
      <c r="CH100" s="159"/>
      <c r="CI100" s="159"/>
      <c r="CJ100" s="159"/>
      <c r="CK100" s="159"/>
      <c r="CL100" s="159"/>
      <c r="CM100" s="159"/>
      <c r="CN100" s="159"/>
      <c r="CO100" s="159"/>
      <c r="CP100" s="159"/>
      <c r="CQ100" s="159"/>
      <c r="CR100" s="159"/>
      <c r="CS100" s="159"/>
      <c r="CT100" s="159"/>
      <c r="CU100" s="159"/>
      <c r="CV100" s="159"/>
      <c r="CW100" s="159"/>
    </row>
    <row r="101" spans="1:101" s="160" customFormat="1" ht="34.5" customHeight="1" x14ac:dyDescent="0.2">
      <c r="A101" s="171" t="s">
        <v>2</v>
      </c>
      <c r="B101" s="171" t="s">
        <v>317</v>
      </c>
      <c r="C101" s="321" t="s">
        <v>318</v>
      </c>
      <c r="D101" s="321"/>
      <c r="E101" s="321"/>
      <c r="F101" s="321"/>
      <c r="G101" s="321" t="s">
        <v>273</v>
      </c>
      <c r="H101" s="321"/>
      <c r="I101" s="321"/>
      <c r="J101" s="321"/>
      <c r="K101" s="252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/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59"/>
      <c r="AU101" s="159"/>
      <c r="AV101" s="159"/>
      <c r="AW101" s="159"/>
      <c r="AX101" s="159"/>
      <c r="AY101" s="159"/>
      <c r="AZ101" s="159"/>
      <c r="BA101" s="159"/>
      <c r="BB101" s="159"/>
      <c r="BC101" s="159"/>
      <c r="BD101" s="159"/>
      <c r="BE101" s="159"/>
      <c r="BF101" s="159"/>
      <c r="BG101" s="159"/>
      <c r="BH101" s="159"/>
      <c r="BI101" s="159"/>
      <c r="BJ101" s="159"/>
      <c r="BK101" s="159"/>
      <c r="BL101" s="159"/>
      <c r="BM101" s="159"/>
      <c r="BN101" s="159"/>
      <c r="BO101" s="159"/>
      <c r="BP101" s="159"/>
      <c r="BQ101" s="159"/>
      <c r="BR101" s="159"/>
      <c r="BS101" s="159"/>
      <c r="BT101" s="159"/>
      <c r="BU101" s="159"/>
      <c r="BV101" s="159"/>
      <c r="BW101" s="159"/>
      <c r="BX101" s="159"/>
      <c r="BY101" s="159"/>
      <c r="BZ101" s="159"/>
      <c r="CA101" s="159"/>
      <c r="CB101" s="159"/>
      <c r="CC101" s="159"/>
      <c r="CD101" s="159"/>
      <c r="CE101" s="159"/>
      <c r="CF101" s="159"/>
      <c r="CG101" s="159"/>
      <c r="CH101" s="159"/>
      <c r="CI101" s="159"/>
      <c r="CJ101" s="159"/>
      <c r="CK101" s="159"/>
      <c r="CL101" s="159"/>
      <c r="CM101" s="159"/>
      <c r="CN101" s="159"/>
      <c r="CO101" s="159"/>
      <c r="CP101" s="159"/>
      <c r="CQ101" s="159"/>
      <c r="CR101" s="159"/>
      <c r="CS101" s="159"/>
      <c r="CT101" s="159"/>
      <c r="CU101" s="159"/>
      <c r="CV101" s="159"/>
      <c r="CW101" s="159"/>
    </row>
    <row r="102" spans="1:101" s="160" customFormat="1" ht="40.5" customHeight="1" x14ac:dyDescent="0.2">
      <c r="A102" s="195" t="s">
        <v>346</v>
      </c>
      <c r="B102" s="195" t="s">
        <v>319</v>
      </c>
      <c r="C102" s="322" t="s">
        <v>425</v>
      </c>
      <c r="D102" s="322"/>
      <c r="E102" s="322"/>
      <c r="F102" s="322"/>
      <c r="G102" s="140" t="s">
        <v>210</v>
      </c>
      <c r="H102" s="141">
        <f>3.3*197</f>
        <v>650.1</v>
      </c>
      <c r="I102" s="219">
        <v>0</v>
      </c>
      <c r="J102" s="239">
        <f>I102*H102</f>
        <v>0</v>
      </c>
      <c r="K102" s="265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59"/>
      <c r="BB102" s="159"/>
      <c r="BC102" s="159"/>
      <c r="BD102" s="159"/>
      <c r="BE102" s="159"/>
      <c r="BF102" s="159"/>
      <c r="BG102" s="159"/>
      <c r="BH102" s="159"/>
      <c r="BI102" s="159"/>
      <c r="BJ102" s="159"/>
      <c r="BK102" s="159"/>
      <c r="BL102" s="159"/>
      <c r="BM102" s="159"/>
      <c r="BN102" s="159"/>
      <c r="BO102" s="159"/>
      <c r="BP102" s="159"/>
      <c r="BQ102" s="159"/>
      <c r="BR102" s="159"/>
      <c r="BS102" s="159"/>
      <c r="BT102" s="159"/>
      <c r="BU102" s="159"/>
      <c r="BV102" s="159"/>
      <c r="BW102" s="159"/>
      <c r="BX102" s="159"/>
      <c r="BY102" s="159"/>
      <c r="BZ102" s="159"/>
      <c r="CA102" s="159"/>
      <c r="CB102" s="159"/>
      <c r="CC102" s="159"/>
      <c r="CD102" s="159"/>
      <c r="CE102" s="159"/>
      <c r="CF102" s="159"/>
      <c r="CG102" s="159"/>
      <c r="CH102" s="159"/>
      <c r="CI102" s="159"/>
      <c r="CJ102" s="159"/>
      <c r="CK102" s="159"/>
      <c r="CL102" s="159"/>
      <c r="CM102" s="159"/>
      <c r="CN102" s="159"/>
      <c r="CO102" s="159"/>
      <c r="CP102" s="159"/>
      <c r="CQ102" s="159"/>
      <c r="CR102" s="159"/>
      <c r="CS102" s="159"/>
      <c r="CT102" s="159"/>
      <c r="CU102" s="159"/>
      <c r="CV102" s="159"/>
      <c r="CW102" s="159"/>
    </row>
    <row r="103" spans="1:101" s="160" customFormat="1" ht="53.25" hidden="1" customHeight="1" x14ac:dyDescent="0.2">
      <c r="A103" s="195"/>
      <c r="B103" s="195"/>
      <c r="C103" s="332" t="s">
        <v>424</v>
      </c>
      <c r="D103" s="333"/>
      <c r="E103" s="333"/>
      <c r="F103" s="334"/>
      <c r="G103" s="149" t="s">
        <v>2</v>
      </c>
      <c r="H103" s="149"/>
      <c r="I103" s="276"/>
      <c r="J103" s="241" t="s">
        <v>2</v>
      </c>
      <c r="K103" s="268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59"/>
      <c r="Z103" s="159"/>
      <c r="AA103" s="159"/>
      <c r="AB103" s="159"/>
      <c r="AC103" s="159"/>
      <c r="AD103" s="159"/>
      <c r="AE103" s="159"/>
      <c r="AF103" s="159"/>
      <c r="AG103" s="159"/>
      <c r="AH103" s="159"/>
      <c r="AI103" s="159"/>
      <c r="AJ103" s="159"/>
      <c r="AK103" s="159"/>
      <c r="AL103" s="159"/>
      <c r="AM103" s="159"/>
      <c r="AN103" s="159"/>
      <c r="AO103" s="159"/>
      <c r="AP103" s="159"/>
      <c r="AQ103" s="159"/>
      <c r="AR103" s="159"/>
      <c r="AS103" s="159"/>
      <c r="AT103" s="159"/>
      <c r="AU103" s="159"/>
      <c r="AV103" s="159"/>
      <c r="AW103" s="159"/>
      <c r="AX103" s="159"/>
      <c r="AY103" s="159"/>
      <c r="AZ103" s="159"/>
      <c r="BA103" s="159"/>
      <c r="BB103" s="159"/>
      <c r="BC103" s="159"/>
      <c r="BD103" s="159"/>
      <c r="BE103" s="159"/>
      <c r="BF103" s="159"/>
      <c r="BG103" s="159"/>
      <c r="BH103" s="159"/>
      <c r="BI103" s="159"/>
      <c r="BJ103" s="159"/>
      <c r="BK103" s="159"/>
      <c r="BL103" s="159"/>
      <c r="BM103" s="159"/>
      <c r="BN103" s="159"/>
      <c r="BO103" s="159"/>
      <c r="BP103" s="159"/>
      <c r="BQ103" s="159"/>
      <c r="BR103" s="159"/>
      <c r="BS103" s="159"/>
      <c r="BT103" s="159"/>
      <c r="BU103" s="159"/>
      <c r="BV103" s="159"/>
      <c r="BW103" s="159"/>
      <c r="BX103" s="159"/>
      <c r="BY103" s="159"/>
      <c r="BZ103" s="159"/>
      <c r="CA103" s="159"/>
      <c r="CB103" s="159"/>
      <c r="CC103" s="159"/>
      <c r="CD103" s="159"/>
      <c r="CE103" s="159"/>
      <c r="CF103" s="159"/>
      <c r="CG103" s="159"/>
      <c r="CH103" s="159"/>
      <c r="CI103" s="159"/>
      <c r="CJ103" s="159"/>
      <c r="CK103" s="159"/>
      <c r="CL103" s="159"/>
      <c r="CM103" s="159"/>
      <c r="CN103" s="159"/>
      <c r="CO103" s="159"/>
      <c r="CP103" s="159"/>
      <c r="CQ103" s="159"/>
      <c r="CR103" s="159"/>
      <c r="CS103" s="159"/>
      <c r="CT103" s="159"/>
      <c r="CU103" s="159"/>
      <c r="CV103" s="159"/>
      <c r="CW103" s="159"/>
    </row>
    <row r="104" spans="1:101" s="160" customFormat="1" ht="23.25" hidden="1" customHeight="1" x14ac:dyDescent="0.2">
      <c r="A104" s="317" t="s">
        <v>266</v>
      </c>
      <c r="B104" s="317"/>
      <c r="C104" s="317"/>
      <c r="D104" s="317"/>
      <c r="E104" s="317"/>
      <c r="F104" s="317"/>
      <c r="G104" s="317"/>
      <c r="H104" s="317"/>
      <c r="I104" s="317"/>
      <c r="J104" s="317"/>
      <c r="K104" s="261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59"/>
      <c r="AU104" s="159"/>
      <c r="AV104" s="159"/>
      <c r="AW104" s="159"/>
      <c r="AX104" s="159"/>
      <c r="AY104" s="159"/>
      <c r="AZ104" s="159"/>
      <c r="BA104" s="159"/>
      <c r="BB104" s="159"/>
      <c r="BC104" s="159"/>
      <c r="BD104" s="159"/>
      <c r="BE104" s="159"/>
      <c r="BF104" s="159"/>
      <c r="BG104" s="159"/>
      <c r="BH104" s="159"/>
      <c r="BI104" s="159"/>
      <c r="BJ104" s="159"/>
      <c r="BK104" s="159"/>
      <c r="BL104" s="159"/>
      <c r="BM104" s="159"/>
      <c r="BN104" s="159"/>
      <c r="BO104" s="159"/>
      <c r="BP104" s="159"/>
      <c r="BQ104" s="159"/>
      <c r="BR104" s="159"/>
      <c r="BS104" s="159"/>
      <c r="BT104" s="159"/>
      <c r="BU104" s="159"/>
      <c r="BV104" s="159"/>
      <c r="BW104" s="159"/>
      <c r="BX104" s="159"/>
      <c r="BY104" s="159"/>
      <c r="BZ104" s="159"/>
      <c r="CA104" s="159"/>
      <c r="CB104" s="159"/>
      <c r="CC104" s="159"/>
      <c r="CD104" s="159"/>
      <c r="CE104" s="159"/>
      <c r="CF104" s="159"/>
      <c r="CG104" s="159"/>
      <c r="CH104" s="159"/>
      <c r="CI104" s="159"/>
      <c r="CJ104" s="159"/>
      <c r="CK104" s="159"/>
      <c r="CL104" s="159"/>
      <c r="CM104" s="159"/>
      <c r="CN104" s="159"/>
      <c r="CO104" s="159"/>
      <c r="CP104" s="159"/>
      <c r="CQ104" s="159"/>
      <c r="CR104" s="159"/>
      <c r="CS104" s="159"/>
      <c r="CT104" s="159"/>
      <c r="CU104" s="159"/>
      <c r="CV104" s="159"/>
      <c r="CW104" s="159"/>
    </row>
    <row r="105" spans="1:101" s="160" customFormat="1" ht="23.25" customHeight="1" x14ac:dyDescent="0.2">
      <c r="A105" s="317" t="s">
        <v>266</v>
      </c>
      <c r="B105" s="317"/>
      <c r="C105" s="317"/>
      <c r="D105" s="317"/>
      <c r="E105" s="317"/>
      <c r="F105" s="317"/>
      <c r="G105" s="317"/>
      <c r="H105" s="317"/>
      <c r="I105" s="317"/>
      <c r="J105" s="233">
        <f>J102+J99+J97</f>
        <v>0</v>
      </c>
      <c r="K105" s="261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59"/>
      <c r="Z105" s="159"/>
      <c r="AA105" s="159"/>
      <c r="AB105" s="159"/>
      <c r="AC105" s="159"/>
      <c r="AD105" s="159"/>
      <c r="AE105" s="159"/>
      <c r="AF105" s="159"/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59"/>
      <c r="AU105" s="159"/>
      <c r="AV105" s="159"/>
      <c r="AW105" s="159"/>
      <c r="AX105" s="159"/>
      <c r="AY105" s="159"/>
      <c r="AZ105" s="159"/>
      <c r="BA105" s="159"/>
      <c r="BB105" s="159"/>
      <c r="BC105" s="159"/>
      <c r="BD105" s="159"/>
      <c r="BE105" s="159"/>
      <c r="BF105" s="159"/>
      <c r="BG105" s="159"/>
      <c r="BH105" s="159"/>
      <c r="BI105" s="159"/>
      <c r="BJ105" s="159"/>
      <c r="BK105" s="159"/>
      <c r="BL105" s="159"/>
      <c r="BM105" s="159"/>
      <c r="BN105" s="159"/>
      <c r="BO105" s="159"/>
      <c r="BP105" s="159"/>
      <c r="BQ105" s="159"/>
      <c r="BR105" s="159"/>
      <c r="BS105" s="159"/>
      <c r="BT105" s="159"/>
      <c r="BU105" s="159"/>
      <c r="BV105" s="159"/>
      <c r="BW105" s="159"/>
      <c r="BX105" s="159"/>
      <c r="BY105" s="159"/>
      <c r="BZ105" s="159"/>
      <c r="CA105" s="159"/>
      <c r="CB105" s="159"/>
      <c r="CC105" s="159"/>
      <c r="CD105" s="159"/>
      <c r="CE105" s="159"/>
      <c r="CF105" s="159"/>
      <c r="CG105" s="159"/>
      <c r="CH105" s="159"/>
      <c r="CI105" s="159"/>
      <c r="CJ105" s="159"/>
      <c r="CK105" s="159"/>
      <c r="CL105" s="159"/>
      <c r="CM105" s="159"/>
      <c r="CN105" s="159"/>
      <c r="CO105" s="159"/>
      <c r="CP105" s="159"/>
      <c r="CQ105" s="159"/>
      <c r="CR105" s="159"/>
      <c r="CS105" s="159"/>
      <c r="CT105" s="159"/>
      <c r="CU105" s="159"/>
      <c r="CV105" s="159"/>
      <c r="CW105" s="159"/>
    </row>
    <row r="106" spans="1:101" s="164" customFormat="1" ht="25.5" customHeight="1" x14ac:dyDescent="0.2">
      <c r="A106" s="198" t="s">
        <v>16</v>
      </c>
      <c r="B106" s="198" t="s">
        <v>258</v>
      </c>
      <c r="C106" s="320" t="s">
        <v>259</v>
      </c>
      <c r="D106" s="320"/>
      <c r="E106" s="320"/>
      <c r="F106" s="320"/>
      <c r="G106" s="320"/>
      <c r="H106" s="320"/>
      <c r="I106" s="320"/>
      <c r="J106" s="320"/>
      <c r="K106" s="251"/>
      <c r="L106" s="162"/>
      <c r="M106" s="162"/>
      <c r="N106" s="162"/>
      <c r="O106" s="162"/>
      <c r="P106" s="162"/>
      <c r="Q106" s="162"/>
      <c r="R106" s="162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  <c r="BI106" s="162"/>
      <c r="BJ106" s="162"/>
      <c r="BK106" s="162"/>
      <c r="BL106" s="162"/>
      <c r="BM106" s="162"/>
      <c r="BN106" s="162"/>
      <c r="BO106" s="162"/>
      <c r="BP106" s="162"/>
      <c r="BQ106" s="162"/>
      <c r="BR106" s="162"/>
      <c r="BS106" s="162"/>
      <c r="BT106" s="162"/>
      <c r="BU106" s="162"/>
      <c r="BV106" s="162"/>
      <c r="BW106" s="162"/>
      <c r="BX106" s="162"/>
      <c r="BY106" s="162"/>
      <c r="BZ106" s="162"/>
      <c r="CA106" s="162"/>
      <c r="CB106" s="162"/>
      <c r="CC106" s="162"/>
      <c r="CD106" s="162"/>
      <c r="CE106" s="162"/>
      <c r="CF106" s="162"/>
      <c r="CG106" s="162"/>
      <c r="CH106" s="162"/>
      <c r="CI106" s="162"/>
      <c r="CJ106" s="162"/>
      <c r="CK106" s="162"/>
      <c r="CL106" s="162"/>
      <c r="CM106" s="162"/>
      <c r="CN106" s="162"/>
      <c r="CO106" s="162"/>
      <c r="CP106" s="162"/>
      <c r="CQ106" s="162"/>
      <c r="CR106" s="162"/>
      <c r="CS106" s="162"/>
      <c r="CT106" s="162"/>
      <c r="CU106" s="162"/>
      <c r="CV106" s="162"/>
      <c r="CW106" s="162"/>
    </row>
    <row r="107" spans="1:101" s="139" customFormat="1" ht="19.5" customHeight="1" x14ac:dyDescent="0.2">
      <c r="A107" s="171" t="s">
        <v>2</v>
      </c>
      <c r="B107" s="171" t="s">
        <v>299</v>
      </c>
      <c r="C107" s="321" t="s">
        <v>260</v>
      </c>
      <c r="D107" s="321"/>
      <c r="E107" s="321"/>
      <c r="F107" s="321"/>
      <c r="G107" s="321"/>
      <c r="H107" s="321"/>
      <c r="I107" s="321"/>
      <c r="J107" s="321"/>
      <c r="K107" s="252"/>
    </row>
    <row r="108" spans="1:101" s="156" customFormat="1" ht="22.5" customHeight="1" x14ac:dyDescent="0.2">
      <c r="A108" s="197" t="s">
        <v>368</v>
      </c>
      <c r="B108" s="206" t="s">
        <v>261</v>
      </c>
      <c r="C108" s="322" t="s">
        <v>262</v>
      </c>
      <c r="D108" s="322"/>
      <c r="E108" s="322"/>
      <c r="F108" s="322"/>
      <c r="G108" s="140" t="s">
        <v>210</v>
      </c>
      <c r="H108" s="141">
        <f>197*0.5*2</f>
        <v>197</v>
      </c>
      <c r="I108" s="278">
        <v>0</v>
      </c>
      <c r="J108" s="239">
        <f>I108*H108</f>
        <v>0</v>
      </c>
      <c r="K108" s="265"/>
    </row>
    <row r="109" spans="1:101" s="139" customFormat="1" ht="45" hidden="1" customHeight="1" x14ac:dyDescent="0.2">
      <c r="A109" s="245"/>
      <c r="B109" s="246"/>
      <c r="C109" s="323" t="s">
        <v>314</v>
      </c>
      <c r="D109" s="323"/>
      <c r="E109" s="323"/>
      <c r="F109" s="323"/>
      <c r="G109" s="149" t="s">
        <v>2</v>
      </c>
      <c r="H109" s="150" t="s">
        <v>2</v>
      </c>
      <c r="I109" s="276"/>
      <c r="J109" s="241" t="s">
        <v>2</v>
      </c>
      <c r="K109" s="268"/>
    </row>
    <row r="110" spans="1:101" s="139" customFormat="1" ht="33" customHeight="1" x14ac:dyDescent="0.2">
      <c r="A110" s="189" t="s">
        <v>350</v>
      </c>
      <c r="B110" s="195" t="s">
        <v>345</v>
      </c>
      <c r="C110" s="319" t="s">
        <v>417</v>
      </c>
      <c r="D110" s="319"/>
      <c r="E110" s="319"/>
      <c r="F110" s="319"/>
      <c r="G110" s="140" t="s">
        <v>210</v>
      </c>
      <c r="H110" s="141">
        <f>2*6.85</f>
        <v>13.7</v>
      </c>
      <c r="I110" s="219">
        <v>0</v>
      </c>
      <c r="J110" s="239">
        <f>I110*H110</f>
        <v>0</v>
      </c>
      <c r="K110" s="265"/>
    </row>
    <row r="111" spans="1:101" s="139" customFormat="1" ht="58.5" hidden="1" customHeight="1" x14ac:dyDescent="0.2">
      <c r="A111" s="231"/>
      <c r="B111" s="218"/>
      <c r="C111" s="318" t="s">
        <v>418</v>
      </c>
      <c r="D111" s="318"/>
      <c r="E111" s="318"/>
      <c r="F111" s="318"/>
      <c r="G111" s="149" t="s">
        <v>2</v>
      </c>
      <c r="H111" s="150" t="s">
        <v>2</v>
      </c>
      <c r="I111" s="276"/>
      <c r="J111" s="241"/>
      <c r="K111" s="268"/>
    </row>
    <row r="112" spans="1:101" s="139" customFormat="1" ht="33" customHeight="1" x14ac:dyDescent="0.2">
      <c r="A112" s="189" t="s">
        <v>369</v>
      </c>
      <c r="B112" s="191" t="s">
        <v>347</v>
      </c>
      <c r="C112" s="328" t="s">
        <v>348</v>
      </c>
      <c r="D112" s="328"/>
      <c r="E112" s="328"/>
      <c r="F112" s="328"/>
      <c r="G112" s="188" t="s">
        <v>217</v>
      </c>
      <c r="H112" s="204">
        <v>3</v>
      </c>
      <c r="I112" s="239">
        <v>0</v>
      </c>
      <c r="J112" s="239">
        <f>I112*H112</f>
        <v>0</v>
      </c>
      <c r="K112" s="270"/>
      <c r="L112" s="165"/>
    </row>
    <row r="113" spans="1:12" s="139" customFormat="1" ht="50.25" hidden="1" customHeight="1" x14ac:dyDescent="0.2">
      <c r="A113" s="189"/>
      <c r="B113" s="191"/>
      <c r="C113" s="329" t="s">
        <v>419</v>
      </c>
      <c r="D113" s="330"/>
      <c r="E113" s="330"/>
      <c r="F113" s="331"/>
      <c r="G113" s="188"/>
      <c r="H113" s="188"/>
      <c r="I113" s="239"/>
      <c r="J113" s="239"/>
      <c r="K113" s="270"/>
      <c r="L113" s="165"/>
    </row>
    <row r="114" spans="1:12" s="139" customFormat="1" ht="22.5" customHeight="1" x14ac:dyDescent="0.2">
      <c r="A114" s="171" t="s">
        <v>2</v>
      </c>
      <c r="B114" s="171" t="s">
        <v>263</v>
      </c>
      <c r="C114" s="321" t="s">
        <v>264</v>
      </c>
      <c r="D114" s="321"/>
      <c r="E114" s="321"/>
      <c r="F114" s="321"/>
      <c r="G114" s="321"/>
      <c r="H114" s="321"/>
      <c r="I114" s="321"/>
      <c r="J114" s="321"/>
      <c r="K114" s="252"/>
    </row>
    <row r="115" spans="1:12" s="139" customFormat="1" ht="24.75" customHeight="1" x14ac:dyDescent="0.2">
      <c r="A115" s="197" t="s">
        <v>370</v>
      </c>
      <c r="B115" s="197" t="s">
        <v>265</v>
      </c>
      <c r="C115" s="322" t="s">
        <v>378</v>
      </c>
      <c r="D115" s="322"/>
      <c r="E115" s="322"/>
      <c r="F115" s="322"/>
      <c r="G115" s="140" t="s">
        <v>210</v>
      </c>
      <c r="H115" s="141">
        <f>197*0.5+6*2*3.5*0.5</f>
        <v>119.5</v>
      </c>
      <c r="I115" s="219">
        <v>0</v>
      </c>
      <c r="J115" s="239">
        <f>I115*H115</f>
        <v>0</v>
      </c>
      <c r="K115" s="265"/>
    </row>
    <row r="116" spans="1:12" s="139" customFormat="1" ht="65.25" hidden="1" customHeight="1" x14ac:dyDescent="0.2">
      <c r="A116" s="230"/>
      <c r="B116" s="216"/>
      <c r="C116" s="332" t="s">
        <v>414</v>
      </c>
      <c r="D116" s="333"/>
      <c r="E116" s="333"/>
      <c r="F116" s="334"/>
      <c r="G116" s="121" t="s">
        <v>2</v>
      </c>
      <c r="H116" s="121"/>
      <c r="I116" s="238"/>
      <c r="J116" s="238" t="s">
        <v>2</v>
      </c>
      <c r="K116" s="253"/>
    </row>
    <row r="117" spans="1:12" s="156" customFormat="1" ht="22.5" hidden="1" customHeight="1" x14ac:dyDescent="0.2">
      <c r="A117" s="317" t="s">
        <v>275</v>
      </c>
      <c r="B117" s="317"/>
      <c r="C117" s="317"/>
      <c r="D117" s="317"/>
      <c r="E117" s="317"/>
      <c r="F117" s="317"/>
      <c r="G117" s="317"/>
      <c r="H117" s="317"/>
      <c r="I117" s="317"/>
      <c r="J117" s="317"/>
      <c r="K117" s="261"/>
    </row>
    <row r="118" spans="1:12" s="156" customFormat="1" ht="22.5" customHeight="1" x14ac:dyDescent="0.2">
      <c r="A118" s="317" t="s">
        <v>275</v>
      </c>
      <c r="B118" s="317"/>
      <c r="C118" s="317"/>
      <c r="D118" s="317"/>
      <c r="E118" s="317"/>
      <c r="F118" s="317"/>
      <c r="G118" s="317"/>
      <c r="H118" s="317"/>
      <c r="I118" s="317"/>
      <c r="J118" s="233">
        <f>J115+J112+J110+J108</f>
        <v>0</v>
      </c>
      <c r="K118" s="261"/>
    </row>
    <row r="119" spans="1:12" s="156" customFormat="1" ht="34.5" customHeight="1" x14ac:dyDescent="0.2">
      <c r="A119" s="198" t="s">
        <v>21</v>
      </c>
      <c r="B119" s="198" t="s">
        <v>267</v>
      </c>
      <c r="C119" s="320" t="s">
        <v>268</v>
      </c>
      <c r="D119" s="320"/>
      <c r="E119" s="320"/>
      <c r="F119" s="320"/>
      <c r="G119" s="320"/>
      <c r="H119" s="320"/>
      <c r="I119" s="320"/>
      <c r="J119" s="320"/>
      <c r="K119" s="251"/>
    </row>
    <row r="120" spans="1:12" s="156" customFormat="1" ht="21.75" customHeight="1" x14ac:dyDescent="0.2">
      <c r="A120" s="171" t="s">
        <v>2</v>
      </c>
      <c r="B120" s="171" t="s">
        <v>269</v>
      </c>
      <c r="C120" s="321" t="s">
        <v>270</v>
      </c>
      <c r="D120" s="321"/>
      <c r="E120" s="321"/>
      <c r="F120" s="321"/>
      <c r="G120" s="321"/>
      <c r="H120" s="321"/>
      <c r="I120" s="321"/>
      <c r="J120" s="321"/>
      <c r="K120" s="252"/>
    </row>
    <row r="121" spans="1:12" s="156" customFormat="1" ht="26.25" customHeight="1" x14ac:dyDescent="0.2">
      <c r="A121" s="191" t="s">
        <v>371</v>
      </c>
      <c r="B121" s="205" t="s">
        <v>311</v>
      </c>
      <c r="C121" s="326" t="s">
        <v>312</v>
      </c>
      <c r="D121" s="326"/>
      <c r="E121" s="326"/>
      <c r="F121" s="326"/>
      <c r="G121" s="140" t="s">
        <v>218</v>
      </c>
      <c r="H121" s="141">
        <v>1</v>
      </c>
      <c r="I121" s="219">
        <v>0</v>
      </c>
      <c r="J121" s="239">
        <f>I121*H121</f>
        <v>0</v>
      </c>
      <c r="K121" s="265"/>
    </row>
    <row r="122" spans="1:12" s="156" customFormat="1" ht="30.75" hidden="1" customHeight="1" x14ac:dyDescent="0.2">
      <c r="A122" s="207"/>
      <c r="B122" s="207"/>
      <c r="C122" s="318" t="s">
        <v>409</v>
      </c>
      <c r="D122" s="327"/>
      <c r="E122" s="327"/>
      <c r="F122" s="327"/>
      <c r="G122" s="149" t="s">
        <v>2</v>
      </c>
      <c r="H122" s="150" t="s">
        <v>2</v>
      </c>
      <c r="I122" s="276"/>
      <c r="J122" s="241"/>
      <c r="K122" s="268"/>
    </row>
    <row r="123" spans="1:12" s="156" customFormat="1" ht="24" customHeight="1" x14ac:dyDescent="0.2">
      <c r="A123" s="207" t="s">
        <v>372</v>
      </c>
      <c r="B123" s="195" t="s">
        <v>313</v>
      </c>
      <c r="C123" s="326" t="s">
        <v>349</v>
      </c>
      <c r="D123" s="326"/>
      <c r="E123" s="326"/>
      <c r="F123" s="326"/>
      <c r="G123" s="140" t="s">
        <v>218</v>
      </c>
      <c r="H123" s="141">
        <v>1</v>
      </c>
      <c r="I123" s="219">
        <v>0</v>
      </c>
      <c r="J123" s="239">
        <f>I123*H123</f>
        <v>0</v>
      </c>
      <c r="K123" s="265"/>
    </row>
    <row r="124" spans="1:12" s="156" customFormat="1" ht="31.5" hidden="1" customHeight="1" x14ac:dyDescent="0.2">
      <c r="A124" s="207"/>
      <c r="B124" s="207"/>
      <c r="C124" s="324" t="s">
        <v>403</v>
      </c>
      <c r="D124" s="324"/>
      <c r="E124" s="324"/>
      <c r="F124" s="324"/>
      <c r="G124" s="149" t="s">
        <v>2</v>
      </c>
      <c r="H124" s="149"/>
      <c r="I124" s="276"/>
      <c r="J124" s="241" t="s">
        <v>2</v>
      </c>
      <c r="K124" s="268"/>
    </row>
    <row r="125" spans="1:12" s="156" customFormat="1" ht="41.25" customHeight="1" x14ac:dyDescent="0.2">
      <c r="A125" s="171" t="s">
        <v>2</v>
      </c>
      <c r="B125" s="171" t="s">
        <v>271</v>
      </c>
      <c r="C125" s="325" t="s">
        <v>272</v>
      </c>
      <c r="D125" s="325"/>
      <c r="E125" s="325"/>
      <c r="F125" s="325"/>
      <c r="G125" s="325"/>
      <c r="H125" s="325"/>
      <c r="I125" s="325"/>
      <c r="J125" s="325"/>
      <c r="K125" s="271"/>
    </row>
    <row r="126" spans="1:12" s="156" customFormat="1" ht="26.25" customHeight="1" x14ac:dyDescent="0.2">
      <c r="A126" s="232" t="s">
        <v>373</v>
      </c>
      <c r="B126" s="205" t="s">
        <v>274</v>
      </c>
      <c r="C126" s="319" t="s">
        <v>410</v>
      </c>
      <c r="D126" s="319"/>
      <c r="E126" s="319"/>
      <c r="F126" s="319"/>
      <c r="G126" s="178" t="s">
        <v>217</v>
      </c>
      <c r="H126" s="179">
        <v>12</v>
      </c>
      <c r="I126" s="219">
        <v>0</v>
      </c>
      <c r="J126" s="239">
        <f>I126*H126</f>
        <v>0</v>
      </c>
      <c r="K126" s="263"/>
    </row>
    <row r="127" spans="1:12" s="156" customFormat="1" ht="51" hidden="1" customHeight="1" x14ac:dyDescent="0.2">
      <c r="A127" s="242"/>
      <c r="B127" s="240"/>
      <c r="C127" s="318" t="s">
        <v>415</v>
      </c>
      <c r="D127" s="318"/>
      <c r="E127" s="318"/>
      <c r="F127" s="318"/>
      <c r="G127" s="243" t="s">
        <v>2</v>
      </c>
      <c r="H127" s="243"/>
      <c r="I127" s="276"/>
      <c r="J127" s="241" t="s">
        <v>2</v>
      </c>
      <c r="K127" s="272"/>
    </row>
    <row r="128" spans="1:12" s="156" customFormat="1" ht="31.5" hidden="1" customHeight="1" x14ac:dyDescent="0.2">
      <c r="A128" s="317" t="s">
        <v>280</v>
      </c>
      <c r="B128" s="317"/>
      <c r="C128" s="317"/>
      <c r="D128" s="317"/>
      <c r="E128" s="317"/>
      <c r="F128" s="317"/>
      <c r="G128" s="317"/>
      <c r="H128" s="317"/>
      <c r="I128" s="317"/>
      <c r="J128" s="317"/>
      <c r="K128" s="261"/>
    </row>
    <row r="129" spans="1:11" s="156" customFormat="1" ht="31.5" customHeight="1" x14ac:dyDescent="0.2">
      <c r="A129" s="317" t="s">
        <v>280</v>
      </c>
      <c r="B129" s="317"/>
      <c r="C129" s="317"/>
      <c r="D129" s="317"/>
      <c r="E129" s="317"/>
      <c r="F129" s="317"/>
      <c r="G129" s="317"/>
      <c r="H129" s="317"/>
      <c r="I129" s="317"/>
      <c r="J129" s="233">
        <f>J126+J123+J121</f>
        <v>0</v>
      </c>
      <c r="K129" s="261"/>
    </row>
    <row r="130" spans="1:11" s="156" customFormat="1" ht="33" customHeight="1" x14ac:dyDescent="0.2">
      <c r="A130" s="198" t="s">
        <v>1</v>
      </c>
      <c r="B130" s="198" t="s">
        <v>276</v>
      </c>
      <c r="C130" s="320" t="s">
        <v>277</v>
      </c>
      <c r="D130" s="320"/>
      <c r="E130" s="320"/>
      <c r="F130" s="320"/>
      <c r="G130" s="320"/>
      <c r="H130" s="320"/>
      <c r="I130" s="320"/>
      <c r="J130" s="320"/>
      <c r="K130" s="251"/>
    </row>
    <row r="131" spans="1:11" s="156" customFormat="1" ht="16.5" hidden="1" customHeight="1" x14ac:dyDescent="0.2">
      <c r="A131" s="214"/>
      <c r="B131" s="216"/>
      <c r="C131" s="148" t="s">
        <v>278</v>
      </c>
      <c r="D131" s="149" t="s">
        <v>217</v>
      </c>
      <c r="E131" s="150">
        <f>'[1]2. Roboty rozbiórkowe '!E19*0.8</f>
        <v>85.2</v>
      </c>
      <c r="F131" s="141" t="s">
        <v>2</v>
      </c>
      <c r="G131" s="157"/>
      <c r="H131" s="157"/>
      <c r="I131" s="175"/>
      <c r="J131" s="175"/>
      <c r="K131" s="273"/>
    </row>
    <row r="132" spans="1:11" s="139" customFormat="1" ht="18" customHeight="1" x14ac:dyDescent="0.2">
      <c r="A132" s="171" t="s">
        <v>2</v>
      </c>
      <c r="B132" s="171" t="s">
        <v>302</v>
      </c>
      <c r="C132" s="321" t="s">
        <v>303</v>
      </c>
      <c r="D132" s="321"/>
      <c r="E132" s="321"/>
      <c r="F132" s="321"/>
      <c r="G132" s="321" t="s">
        <v>273</v>
      </c>
      <c r="H132" s="321"/>
      <c r="I132" s="321"/>
      <c r="J132" s="321"/>
      <c r="K132" s="252"/>
    </row>
    <row r="133" spans="1:11" s="139" customFormat="1" ht="33.75" customHeight="1" x14ac:dyDescent="0.2">
      <c r="A133" s="197" t="s">
        <v>374</v>
      </c>
      <c r="B133" s="215" t="s">
        <v>304</v>
      </c>
      <c r="C133" s="322" t="s">
        <v>305</v>
      </c>
      <c r="D133" s="322"/>
      <c r="E133" s="322"/>
      <c r="F133" s="322"/>
      <c r="G133" s="140" t="s">
        <v>217</v>
      </c>
      <c r="H133" s="141">
        <v>10</v>
      </c>
      <c r="I133" s="219">
        <v>0</v>
      </c>
      <c r="J133" s="239">
        <f>I133*H133</f>
        <v>0</v>
      </c>
      <c r="K133" s="265"/>
    </row>
    <row r="134" spans="1:11" s="139" customFormat="1" ht="55.5" hidden="1" customHeight="1" x14ac:dyDescent="0.2">
      <c r="A134" s="197"/>
      <c r="B134" s="206"/>
      <c r="C134" s="323" t="s">
        <v>416</v>
      </c>
      <c r="D134" s="323"/>
      <c r="E134" s="323"/>
      <c r="F134" s="323"/>
      <c r="G134" s="149" t="s">
        <v>2</v>
      </c>
      <c r="H134" s="149"/>
      <c r="I134" s="276"/>
      <c r="J134" s="241" t="s">
        <v>2</v>
      </c>
      <c r="K134" s="268"/>
    </row>
    <row r="135" spans="1:11" s="139" customFormat="1" ht="24.75" customHeight="1" x14ac:dyDescent="0.2">
      <c r="A135" s="171" t="s">
        <v>2</v>
      </c>
      <c r="B135" s="208" t="s">
        <v>308</v>
      </c>
      <c r="C135" s="321" t="s">
        <v>309</v>
      </c>
      <c r="D135" s="321"/>
      <c r="E135" s="321"/>
      <c r="F135" s="321"/>
      <c r="G135" s="321" t="s">
        <v>273</v>
      </c>
      <c r="H135" s="321"/>
      <c r="I135" s="321"/>
      <c r="J135" s="321"/>
      <c r="K135" s="252"/>
    </row>
    <row r="136" spans="1:11" s="139" customFormat="1" ht="24.75" customHeight="1" x14ac:dyDescent="0.2">
      <c r="A136" s="197" t="s">
        <v>375</v>
      </c>
      <c r="B136" s="215" t="s">
        <v>310</v>
      </c>
      <c r="C136" s="319" t="s">
        <v>384</v>
      </c>
      <c r="D136" s="319"/>
      <c r="E136" s="319"/>
      <c r="F136" s="319"/>
      <c r="G136" s="140" t="s">
        <v>217</v>
      </c>
      <c r="H136" s="141">
        <f>197-10-36</f>
        <v>151</v>
      </c>
      <c r="I136" s="219">
        <v>0</v>
      </c>
      <c r="J136" s="239">
        <f>I136*H136</f>
        <v>0</v>
      </c>
      <c r="K136" s="265"/>
    </row>
    <row r="137" spans="1:11" s="139" customFormat="1" ht="49.5" hidden="1" customHeight="1" x14ac:dyDescent="0.2">
      <c r="A137" s="197"/>
      <c r="B137" s="206"/>
      <c r="C137" s="318" t="s">
        <v>411</v>
      </c>
      <c r="D137" s="318"/>
      <c r="E137" s="318"/>
      <c r="F137" s="318"/>
      <c r="G137" s="149" t="s">
        <v>2</v>
      </c>
      <c r="H137" s="150" t="s">
        <v>2</v>
      </c>
      <c r="I137" s="276"/>
      <c r="J137" s="241"/>
      <c r="K137" s="268"/>
    </row>
    <row r="138" spans="1:11" s="139" customFormat="1" ht="42" customHeight="1" x14ac:dyDescent="0.2">
      <c r="A138" s="197" t="s">
        <v>379</v>
      </c>
      <c r="B138" s="215" t="s">
        <v>310</v>
      </c>
      <c r="C138" s="319" t="s">
        <v>385</v>
      </c>
      <c r="D138" s="319"/>
      <c r="E138" s="319"/>
      <c r="F138" s="319"/>
      <c r="G138" s="140" t="s">
        <v>217</v>
      </c>
      <c r="H138" s="141">
        <v>36</v>
      </c>
      <c r="I138" s="219">
        <v>0</v>
      </c>
      <c r="J138" s="239">
        <f>I138*H138</f>
        <v>0</v>
      </c>
      <c r="K138" s="265"/>
    </row>
    <row r="139" spans="1:11" s="139" customFormat="1" ht="42" hidden="1" customHeight="1" x14ac:dyDescent="0.2">
      <c r="A139" s="197"/>
      <c r="B139" s="215"/>
      <c r="C139" s="318" t="s">
        <v>412</v>
      </c>
      <c r="D139" s="318"/>
      <c r="E139" s="318"/>
      <c r="F139" s="318"/>
      <c r="G139" s="149" t="s">
        <v>2</v>
      </c>
      <c r="H139" s="149"/>
      <c r="I139" s="276"/>
      <c r="J139" s="241" t="s">
        <v>2</v>
      </c>
      <c r="K139" s="268"/>
    </row>
    <row r="140" spans="1:11" ht="35.1" hidden="1" customHeight="1" x14ac:dyDescent="0.2">
      <c r="A140" s="317" t="s">
        <v>281</v>
      </c>
      <c r="B140" s="317"/>
      <c r="C140" s="317"/>
      <c r="D140" s="317"/>
      <c r="E140" s="317"/>
      <c r="F140" s="317"/>
      <c r="G140" s="317"/>
      <c r="H140" s="317"/>
      <c r="I140" s="317"/>
      <c r="J140" s="317"/>
      <c r="K140" s="261"/>
    </row>
    <row r="141" spans="1:11" ht="35.1" hidden="1" customHeight="1" x14ac:dyDescent="0.2">
      <c r="A141" s="314" t="s">
        <v>293</v>
      </c>
      <c r="B141" s="314"/>
      <c r="C141" s="314"/>
      <c r="D141" s="314"/>
      <c r="E141" s="314"/>
      <c r="F141" s="314"/>
      <c r="G141" s="314"/>
      <c r="H141" s="314"/>
      <c r="I141" s="314"/>
      <c r="J141" s="314"/>
      <c r="K141" s="274"/>
    </row>
    <row r="142" spans="1:11" ht="35.1" customHeight="1" x14ac:dyDescent="0.2">
      <c r="A142" s="317" t="s">
        <v>281</v>
      </c>
      <c r="B142" s="317"/>
      <c r="C142" s="317"/>
      <c r="D142" s="317"/>
      <c r="E142" s="317"/>
      <c r="F142" s="317"/>
      <c r="G142" s="317"/>
      <c r="H142" s="317"/>
      <c r="I142" s="317"/>
      <c r="J142" s="233">
        <f>J138+J136+J133</f>
        <v>0</v>
      </c>
      <c r="K142" s="274"/>
    </row>
    <row r="143" spans="1:11" ht="35.1" customHeight="1" x14ac:dyDescent="0.2">
      <c r="A143" s="314" t="s">
        <v>293</v>
      </c>
      <c r="B143" s="314"/>
      <c r="C143" s="314"/>
      <c r="D143" s="314"/>
      <c r="E143" s="314"/>
      <c r="F143" s="314"/>
      <c r="G143" s="314"/>
      <c r="H143" s="314"/>
      <c r="I143" s="314"/>
      <c r="J143" s="235">
        <f>J142+J129+J118+J105+J81+J64+J52+J44</f>
        <v>0</v>
      </c>
      <c r="K143" s="274"/>
    </row>
    <row r="144" spans="1:11" ht="35.1" customHeight="1" x14ac:dyDescent="0.2">
      <c r="A144" s="311" t="s">
        <v>437</v>
      </c>
      <c r="B144" s="312"/>
      <c r="C144" s="312"/>
      <c r="D144" s="312"/>
      <c r="E144" s="312"/>
      <c r="F144" s="312"/>
      <c r="G144" s="312"/>
      <c r="H144" s="312"/>
      <c r="I144" s="313"/>
      <c r="J144" s="234">
        <f>J143+J22</f>
        <v>0</v>
      </c>
      <c r="K144" s="275"/>
    </row>
    <row r="145" spans="1:176" ht="35.1" customHeight="1" x14ac:dyDescent="0.2">
      <c r="A145" s="311" t="s">
        <v>282</v>
      </c>
      <c r="B145" s="312"/>
      <c r="C145" s="312"/>
      <c r="D145" s="312"/>
      <c r="E145" s="312"/>
      <c r="F145" s="312"/>
      <c r="G145" s="312"/>
      <c r="H145" s="312"/>
      <c r="I145" s="313"/>
      <c r="J145" s="234">
        <f>J146-J144</f>
        <v>0</v>
      </c>
      <c r="K145" s="275"/>
    </row>
    <row r="146" spans="1:176" ht="39.950000000000003" customHeight="1" x14ac:dyDescent="0.2">
      <c r="A146" s="311" t="s">
        <v>283</v>
      </c>
      <c r="B146" s="312"/>
      <c r="C146" s="312"/>
      <c r="D146" s="312"/>
      <c r="E146" s="312"/>
      <c r="F146" s="312"/>
      <c r="G146" s="312"/>
      <c r="H146" s="312"/>
      <c r="I146" s="313"/>
      <c r="J146" s="234">
        <f>J144*1.23</f>
        <v>0</v>
      </c>
      <c r="K146" s="275"/>
    </row>
    <row r="147" spans="1:176" x14ac:dyDescent="0.2">
      <c r="F147" s="169"/>
    </row>
    <row r="148" spans="1:176" x14ac:dyDescent="0.2">
      <c r="F148" s="169"/>
    </row>
    <row r="149" spans="1:176" x14ac:dyDescent="0.2">
      <c r="F149" s="169"/>
      <c r="G149" s="117"/>
      <c r="H149" s="117"/>
      <c r="I149" s="222"/>
      <c r="J149" s="222"/>
      <c r="K149" s="117"/>
    </row>
    <row r="150" spans="1:176" s="166" customFormat="1" x14ac:dyDescent="0.2">
      <c r="A150" s="201"/>
      <c r="B150" s="202"/>
      <c r="C150" s="123"/>
      <c r="D150" s="168"/>
      <c r="E150" s="169"/>
      <c r="F150" s="169"/>
      <c r="G150" s="117"/>
      <c r="H150" s="117"/>
      <c r="I150" s="222"/>
      <c r="J150" s="222"/>
      <c r="K150" s="117"/>
      <c r="L150" s="117"/>
      <c r="M150" s="117"/>
      <c r="N150" s="117"/>
      <c r="O150" s="117"/>
      <c r="P150" s="117"/>
      <c r="Q150" s="117"/>
      <c r="R150" s="117"/>
      <c r="S150" s="117"/>
      <c r="T150" s="117"/>
      <c r="U150" s="117"/>
      <c r="V150" s="117"/>
      <c r="W150" s="117"/>
      <c r="X150" s="117"/>
      <c r="Y150" s="117"/>
      <c r="Z150" s="117"/>
      <c r="AA150" s="117"/>
      <c r="AB150" s="117"/>
      <c r="AC150" s="117"/>
      <c r="AD150" s="117"/>
      <c r="AE150" s="117"/>
      <c r="AF150" s="117"/>
      <c r="AG150" s="117"/>
      <c r="AH150" s="117"/>
      <c r="AI150" s="117"/>
      <c r="AJ150" s="117"/>
      <c r="AK150" s="117"/>
      <c r="AL150" s="117"/>
      <c r="AM150" s="117"/>
      <c r="AN150" s="117"/>
      <c r="AO150" s="117"/>
      <c r="AP150" s="117"/>
      <c r="AQ150" s="117"/>
      <c r="AR150" s="117"/>
      <c r="AS150" s="117"/>
      <c r="AT150" s="117"/>
      <c r="AU150" s="117"/>
      <c r="AV150" s="117"/>
      <c r="AW150" s="117"/>
      <c r="AX150" s="117"/>
      <c r="AY150" s="117"/>
      <c r="AZ150" s="117"/>
      <c r="BA150" s="117"/>
      <c r="BB150" s="117"/>
      <c r="BC150" s="117"/>
      <c r="BD150" s="117"/>
      <c r="BE150" s="117"/>
      <c r="BF150" s="117"/>
      <c r="BG150" s="117"/>
      <c r="BH150" s="117"/>
      <c r="BI150" s="117"/>
      <c r="BJ150" s="117"/>
      <c r="BK150" s="117"/>
      <c r="BL150" s="117"/>
      <c r="BM150" s="117"/>
      <c r="BN150" s="117"/>
      <c r="BO150" s="117"/>
      <c r="BP150" s="117"/>
      <c r="BQ150" s="117"/>
      <c r="BR150" s="117"/>
      <c r="BS150" s="117"/>
      <c r="BT150" s="117"/>
      <c r="BU150" s="117"/>
      <c r="BV150" s="117"/>
      <c r="BW150" s="117"/>
      <c r="BX150" s="117"/>
      <c r="BY150" s="117"/>
      <c r="BZ150" s="117"/>
      <c r="CA150" s="117"/>
      <c r="CB150" s="117"/>
      <c r="CC150" s="117"/>
      <c r="CD150" s="117"/>
      <c r="CE150" s="117"/>
      <c r="CF150" s="117"/>
      <c r="CG150" s="117"/>
      <c r="CH150" s="117"/>
      <c r="CI150" s="117"/>
      <c r="CJ150" s="117"/>
      <c r="CK150" s="117"/>
      <c r="CL150" s="117"/>
      <c r="CM150" s="117"/>
      <c r="CN150" s="117"/>
      <c r="CO150" s="117"/>
      <c r="CP150" s="117"/>
      <c r="CQ150" s="117"/>
      <c r="CR150" s="117"/>
      <c r="CS150" s="117"/>
      <c r="CT150" s="117"/>
      <c r="CU150" s="117"/>
      <c r="CV150" s="117"/>
      <c r="CW150" s="117"/>
      <c r="CX150" s="117"/>
      <c r="CY150" s="117"/>
      <c r="CZ150" s="117"/>
      <c r="DA150" s="117"/>
      <c r="DB150" s="117"/>
      <c r="DC150" s="117"/>
      <c r="DD150" s="117"/>
      <c r="DE150" s="117"/>
      <c r="DF150" s="117"/>
      <c r="DG150" s="117"/>
      <c r="DH150" s="117"/>
      <c r="DI150" s="117"/>
      <c r="DJ150" s="117"/>
      <c r="DK150" s="117"/>
      <c r="DL150" s="117"/>
      <c r="DM150" s="117"/>
      <c r="DN150" s="117"/>
      <c r="DO150" s="117"/>
      <c r="DP150" s="117"/>
      <c r="DQ150" s="117"/>
      <c r="DR150" s="117"/>
      <c r="DS150" s="117"/>
      <c r="DT150" s="117"/>
      <c r="DU150" s="117"/>
      <c r="DV150" s="117"/>
      <c r="DW150" s="117"/>
      <c r="DX150" s="117"/>
      <c r="DY150" s="117"/>
      <c r="DZ150" s="117"/>
      <c r="EA150" s="117"/>
      <c r="EB150" s="117"/>
      <c r="EC150" s="117"/>
      <c r="ED150" s="117"/>
      <c r="EE150" s="117"/>
      <c r="EF150" s="117"/>
      <c r="EG150" s="117"/>
      <c r="EH150" s="117"/>
      <c r="EI150" s="117"/>
      <c r="EJ150" s="117"/>
      <c r="EK150" s="117"/>
      <c r="EL150" s="117"/>
      <c r="EM150" s="117"/>
      <c r="EN150" s="117"/>
      <c r="EO150" s="117"/>
      <c r="EP150" s="117"/>
      <c r="EQ150" s="117"/>
      <c r="ER150" s="117"/>
      <c r="ES150" s="117"/>
      <c r="ET150" s="117"/>
      <c r="EU150" s="117"/>
      <c r="EV150" s="117"/>
      <c r="EW150" s="117"/>
      <c r="EX150" s="117"/>
      <c r="EY150" s="117"/>
      <c r="EZ150" s="117"/>
      <c r="FA150" s="117"/>
      <c r="FB150" s="117"/>
      <c r="FC150" s="117"/>
      <c r="FD150" s="117"/>
      <c r="FE150" s="117"/>
      <c r="FF150" s="117"/>
      <c r="FG150" s="117"/>
      <c r="FH150" s="117"/>
      <c r="FI150" s="117"/>
      <c r="FJ150" s="117"/>
      <c r="FK150" s="117"/>
      <c r="FL150" s="117"/>
      <c r="FM150" s="117"/>
      <c r="FN150" s="117"/>
      <c r="FO150" s="117"/>
      <c r="FP150" s="117"/>
      <c r="FQ150" s="117"/>
      <c r="FR150" s="117"/>
      <c r="FS150" s="117"/>
      <c r="FT150" s="117"/>
    </row>
    <row r="151" spans="1:176" s="166" customFormat="1" x14ac:dyDescent="0.2">
      <c r="A151" s="201"/>
      <c r="B151" s="202"/>
      <c r="C151" s="123"/>
      <c r="D151" s="168"/>
      <c r="E151" s="169"/>
      <c r="F151" s="169"/>
      <c r="G151" s="117"/>
      <c r="H151" s="117"/>
      <c r="I151" s="222"/>
      <c r="J151" s="222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/>
      <c r="AY151" s="117"/>
      <c r="AZ151" s="117"/>
      <c r="BA151" s="117"/>
      <c r="BB151" s="117"/>
      <c r="BC151" s="117"/>
      <c r="BD151" s="117"/>
      <c r="BE151" s="117"/>
      <c r="BF151" s="117"/>
      <c r="BG151" s="117"/>
      <c r="BH151" s="117"/>
      <c r="BI151" s="117"/>
      <c r="BJ151" s="117"/>
      <c r="BK151" s="117"/>
      <c r="BL151" s="117"/>
      <c r="BM151" s="117"/>
      <c r="BN151" s="117"/>
      <c r="BO151" s="117"/>
      <c r="BP151" s="117"/>
      <c r="BQ151" s="117"/>
      <c r="BR151" s="117"/>
      <c r="BS151" s="117"/>
      <c r="BT151" s="117"/>
      <c r="BU151" s="117"/>
      <c r="BV151" s="117"/>
      <c r="BW151" s="117"/>
      <c r="BX151" s="117"/>
      <c r="BY151" s="117"/>
      <c r="BZ151" s="117"/>
      <c r="CA151" s="117"/>
      <c r="CB151" s="117"/>
      <c r="CC151" s="117"/>
      <c r="CD151" s="117"/>
      <c r="CE151" s="117"/>
      <c r="CF151" s="117"/>
      <c r="CG151" s="117"/>
      <c r="CH151" s="117"/>
      <c r="CI151" s="117"/>
      <c r="CJ151" s="117"/>
      <c r="CK151" s="117"/>
      <c r="CL151" s="117"/>
      <c r="CM151" s="117"/>
      <c r="CN151" s="117"/>
      <c r="CO151" s="117"/>
      <c r="CP151" s="117"/>
      <c r="CQ151" s="117"/>
      <c r="CR151" s="117"/>
      <c r="CS151" s="117"/>
      <c r="CT151" s="117"/>
      <c r="CU151" s="117"/>
      <c r="CV151" s="117"/>
      <c r="CW151" s="117"/>
      <c r="CX151" s="117"/>
      <c r="CY151" s="117"/>
      <c r="CZ151" s="117"/>
      <c r="DA151" s="117"/>
      <c r="DB151" s="117"/>
      <c r="DC151" s="117"/>
      <c r="DD151" s="117"/>
      <c r="DE151" s="117"/>
      <c r="DF151" s="117"/>
      <c r="DG151" s="117"/>
      <c r="DH151" s="117"/>
      <c r="DI151" s="117"/>
      <c r="DJ151" s="117"/>
      <c r="DK151" s="117"/>
      <c r="DL151" s="117"/>
      <c r="DM151" s="117"/>
      <c r="DN151" s="117"/>
      <c r="DO151" s="117"/>
      <c r="DP151" s="117"/>
      <c r="DQ151" s="117"/>
      <c r="DR151" s="117"/>
      <c r="DS151" s="117"/>
      <c r="DT151" s="117"/>
      <c r="DU151" s="117"/>
      <c r="DV151" s="117"/>
      <c r="DW151" s="117"/>
      <c r="DX151" s="117"/>
      <c r="DY151" s="117"/>
      <c r="DZ151" s="117"/>
      <c r="EA151" s="117"/>
      <c r="EB151" s="117"/>
      <c r="EC151" s="117"/>
      <c r="ED151" s="117"/>
      <c r="EE151" s="117"/>
      <c r="EF151" s="117"/>
      <c r="EG151" s="117"/>
      <c r="EH151" s="117"/>
      <c r="EI151" s="117"/>
      <c r="EJ151" s="117"/>
      <c r="EK151" s="117"/>
      <c r="EL151" s="117"/>
      <c r="EM151" s="117"/>
      <c r="EN151" s="117"/>
      <c r="EO151" s="117"/>
      <c r="EP151" s="117"/>
      <c r="EQ151" s="117"/>
      <c r="ER151" s="117"/>
      <c r="ES151" s="117"/>
      <c r="ET151" s="117"/>
      <c r="EU151" s="117"/>
      <c r="EV151" s="117"/>
      <c r="EW151" s="117"/>
      <c r="EX151" s="117"/>
      <c r="EY151" s="117"/>
      <c r="EZ151" s="117"/>
      <c r="FA151" s="117"/>
      <c r="FB151" s="117"/>
      <c r="FC151" s="117"/>
      <c r="FD151" s="117"/>
      <c r="FE151" s="117"/>
      <c r="FF151" s="117"/>
      <c r="FG151" s="117"/>
      <c r="FH151" s="117"/>
      <c r="FI151" s="117"/>
      <c r="FJ151" s="117"/>
      <c r="FK151" s="117"/>
      <c r="FL151" s="117"/>
      <c r="FM151" s="117"/>
      <c r="FN151" s="117"/>
      <c r="FO151" s="117"/>
      <c r="FP151" s="117"/>
      <c r="FQ151" s="117"/>
      <c r="FR151" s="117"/>
      <c r="FS151" s="117"/>
      <c r="FT151" s="117"/>
    </row>
    <row r="152" spans="1:176" s="166" customFormat="1" x14ac:dyDescent="0.2">
      <c r="A152" s="201"/>
      <c r="B152" s="202"/>
      <c r="C152" s="123"/>
      <c r="D152" s="168"/>
      <c r="E152" s="169"/>
      <c r="F152" s="169"/>
      <c r="G152" s="117"/>
      <c r="H152" s="117"/>
      <c r="I152" s="222"/>
      <c r="J152" s="222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  <c r="AD152" s="117"/>
      <c r="AE152" s="117"/>
      <c r="AF152" s="117"/>
      <c r="AG152" s="117"/>
      <c r="AH152" s="117"/>
      <c r="AI152" s="117"/>
      <c r="AJ152" s="117"/>
      <c r="AK152" s="117"/>
      <c r="AL152" s="117"/>
      <c r="AM152" s="117"/>
      <c r="AN152" s="117"/>
      <c r="AO152" s="117"/>
      <c r="AP152" s="117"/>
      <c r="AQ152" s="117"/>
      <c r="AR152" s="117"/>
      <c r="AS152" s="117"/>
      <c r="AT152" s="117"/>
      <c r="AU152" s="117"/>
      <c r="AV152" s="117"/>
      <c r="AW152" s="117"/>
      <c r="AX152" s="117"/>
      <c r="AY152" s="117"/>
      <c r="AZ152" s="117"/>
      <c r="BA152" s="117"/>
      <c r="BB152" s="117"/>
      <c r="BC152" s="117"/>
      <c r="BD152" s="117"/>
      <c r="BE152" s="117"/>
      <c r="BF152" s="117"/>
      <c r="BG152" s="117"/>
      <c r="BH152" s="117"/>
      <c r="BI152" s="117"/>
      <c r="BJ152" s="117"/>
      <c r="BK152" s="117"/>
      <c r="BL152" s="117"/>
      <c r="BM152" s="117"/>
      <c r="BN152" s="117"/>
      <c r="BO152" s="117"/>
      <c r="BP152" s="117"/>
      <c r="BQ152" s="117"/>
      <c r="BR152" s="117"/>
      <c r="BS152" s="117"/>
      <c r="BT152" s="117"/>
      <c r="BU152" s="117"/>
      <c r="BV152" s="117"/>
      <c r="BW152" s="117"/>
      <c r="BX152" s="117"/>
      <c r="BY152" s="117"/>
      <c r="BZ152" s="117"/>
      <c r="CA152" s="117"/>
      <c r="CB152" s="117"/>
      <c r="CC152" s="117"/>
      <c r="CD152" s="117"/>
      <c r="CE152" s="117"/>
      <c r="CF152" s="117"/>
      <c r="CG152" s="117"/>
      <c r="CH152" s="117"/>
      <c r="CI152" s="117"/>
      <c r="CJ152" s="117"/>
      <c r="CK152" s="117"/>
      <c r="CL152" s="117"/>
      <c r="CM152" s="117"/>
      <c r="CN152" s="117"/>
      <c r="CO152" s="117"/>
      <c r="CP152" s="117"/>
      <c r="CQ152" s="117"/>
      <c r="CR152" s="117"/>
      <c r="CS152" s="117"/>
      <c r="CT152" s="117"/>
      <c r="CU152" s="117"/>
      <c r="CV152" s="117"/>
      <c r="CW152" s="117"/>
      <c r="CX152" s="117"/>
      <c r="CY152" s="117"/>
      <c r="CZ152" s="117"/>
      <c r="DA152" s="117"/>
      <c r="DB152" s="117"/>
      <c r="DC152" s="117"/>
      <c r="DD152" s="117"/>
      <c r="DE152" s="117"/>
      <c r="DF152" s="117"/>
      <c r="DG152" s="117"/>
      <c r="DH152" s="117"/>
      <c r="DI152" s="117"/>
      <c r="DJ152" s="117"/>
      <c r="DK152" s="117"/>
      <c r="DL152" s="117"/>
      <c r="DM152" s="117"/>
      <c r="DN152" s="117"/>
      <c r="DO152" s="117"/>
      <c r="DP152" s="117"/>
      <c r="DQ152" s="117"/>
      <c r="DR152" s="117"/>
      <c r="DS152" s="117"/>
      <c r="DT152" s="117"/>
      <c r="DU152" s="117"/>
      <c r="DV152" s="117"/>
      <c r="DW152" s="117"/>
      <c r="DX152" s="117"/>
      <c r="DY152" s="117"/>
      <c r="DZ152" s="117"/>
      <c r="EA152" s="117"/>
      <c r="EB152" s="117"/>
      <c r="EC152" s="117"/>
      <c r="ED152" s="117"/>
      <c r="EE152" s="117"/>
      <c r="EF152" s="117"/>
      <c r="EG152" s="117"/>
      <c r="EH152" s="117"/>
      <c r="EI152" s="117"/>
      <c r="EJ152" s="117"/>
      <c r="EK152" s="117"/>
      <c r="EL152" s="117"/>
      <c r="EM152" s="117"/>
      <c r="EN152" s="117"/>
      <c r="EO152" s="117"/>
      <c r="EP152" s="117"/>
      <c r="EQ152" s="117"/>
      <c r="ER152" s="117"/>
      <c r="ES152" s="117"/>
      <c r="ET152" s="117"/>
      <c r="EU152" s="117"/>
      <c r="EV152" s="117"/>
      <c r="EW152" s="117"/>
      <c r="EX152" s="117"/>
      <c r="EY152" s="117"/>
      <c r="EZ152" s="117"/>
      <c r="FA152" s="117"/>
      <c r="FB152" s="117"/>
      <c r="FC152" s="117"/>
      <c r="FD152" s="117"/>
      <c r="FE152" s="117"/>
      <c r="FF152" s="117"/>
      <c r="FG152" s="117"/>
      <c r="FH152" s="117"/>
      <c r="FI152" s="117"/>
      <c r="FJ152" s="117"/>
      <c r="FK152" s="117"/>
      <c r="FL152" s="117"/>
      <c r="FM152" s="117"/>
      <c r="FN152" s="117"/>
      <c r="FO152" s="117"/>
      <c r="FP152" s="117"/>
      <c r="FQ152" s="117"/>
      <c r="FR152" s="117"/>
      <c r="FS152" s="117"/>
      <c r="FT152" s="117"/>
    </row>
    <row r="153" spans="1:176" s="166" customFormat="1" x14ac:dyDescent="0.2">
      <c r="A153" s="201"/>
      <c r="B153" s="202"/>
      <c r="C153" s="123"/>
      <c r="D153" s="168"/>
      <c r="E153" s="169"/>
      <c r="F153" s="169"/>
      <c r="G153" s="117"/>
      <c r="H153" s="117"/>
      <c r="I153" s="222"/>
      <c r="J153" s="222"/>
      <c r="K153" s="117"/>
      <c r="L153" s="117"/>
      <c r="M153" s="117"/>
      <c r="N153" s="117"/>
      <c r="O153" s="117"/>
      <c r="P153" s="117"/>
      <c r="Q153" s="117"/>
      <c r="R153" s="117"/>
      <c r="S153" s="117"/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  <c r="AD153" s="117"/>
      <c r="AE153" s="117"/>
      <c r="AF153" s="117"/>
      <c r="AG153" s="117"/>
      <c r="AH153" s="117"/>
      <c r="AI153" s="117"/>
      <c r="AJ153" s="117"/>
      <c r="AK153" s="117"/>
      <c r="AL153" s="117"/>
      <c r="AM153" s="117"/>
      <c r="AN153" s="117"/>
      <c r="AO153" s="117"/>
      <c r="AP153" s="117"/>
      <c r="AQ153" s="117"/>
      <c r="AR153" s="117"/>
      <c r="AS153" s="117"/>
      <c r="AT153" s="117"/>
      <c r="AU153" s="117"/>
      <c r="AV153" s="117"/>
      <c r="AW153" s="117"/>
      <c r="AX153" s="117"/>
      <c r="AY153" s="117"/>
      <c r="AZ153" s="117"/>
      <c r="BA153" s="117"/>
      <c r="BB153" s="117"/>
      <c r="BC153" s="117"/>
      <c r="BD153" s="117"/>
      <c r="BE153" s="117"/>
      <c r="BF153" s="117"/>
      <c r="BG153" s="117"/>
      <c r="BH153" s="117"/>
      <c r="BI153" s="117"/>
      <c r="BJ153" s="117"/>
      <c r="BK153" s="117"/>
      <c r="BL153" s="117"/>
      <c r="BM153" s="117"/>
      <c r="BN153" s="117"/>
      <c r="BO153" s="117"/>
      <c r="BP153" s="117"/>
      <c r="BQ153" s="117"/>
      <c r="BR153" s="117"/>
      <c r="BS153" s="117"/>
      <c r="BT153" s="117"/>
      <c r="BU153" s="117"/>
      <c r="BV153" s="117"/>
      <c r="BW153" s="117"/>
      <c r="BX153" s="117"/>
      <c r="BY153" s="117"/>
      <c r="BZ153" s="117"/>
      <c r="CA153" s="117"/>
      <c r="CB153" s="117"/>
      <c r="CC153" s="117"/>
      <c r="CD153" s="117"/>
      <c r="CE153" s="117"/>
      <c r="CF153" s="117"/>
      <c r="CG153" s="117"/>
      <c r="CH153" s="117"/>
      <c r="CI153" s="117"/>
      <c r="CJ153" s="117"/>
      <c r="CK153" s="117"/>
      <c r="CL153" s="117"/>
      <c r="CM153" s="117"/>
      <c r="CN153" s="117"/>
      <c r="CO153" s="117"/>
      <c r="CP153" s="117"/>
      <c r="CQ153" s="117"/>
      <c r="CR153" s="117"/>
      <c r="CS153" s="117"/>
      <c r="CT153" s="117"/>
      <c r="CU153" s="117"/>
      <c r="CV153" s="117"/>
      <c r="CW153" s="117"/>
      <c r="CX153" s="117"/>
      <c r="CY153" s="117"/>
      <c r="CZ153" s="117"/>
      <c r="DA153" s="117"/>
      <c r="DB153" s="117"/>
      <c r="DC153" s="117"/>
      <c r="DD153" s="117"/>
      <c r="DE153" s="117"/>
      <c r="DF153" s="117"/>
      <c r="DG153" s="117"/>
      <c r="DH153" s="117"/>
      <c r="DI153" s="117"/>
      <c r="DJ153" s="117"/>
      <c r="DK153" s="117"/>
      <c r="DL153" s="117"/>
      <c r="DM153" s="117"/>
      <c r="DN153" s="117"/>
      <c r="DO153" s="117"/>
      <c r="DP153" s="117"/>
      <c r="DQ153" s="117"/>
      <c r="DR153" s="117"/>
      <c r="DS153" s="117"/>
      <c r="DT153" s="117"/>
      <c r="DU153" s="117"/>
      <c r="DV153" s="117"/>
      <c r="DW153" s="117"/>
      <c r="DX153" s="117"/>
      <c r="DY153" s="117"/>
      <c r="DZ153" s="117"/>
      <c r="EA153" s="117"/>
      <c r="EB153" s="117"/>
      <c r="EC153" s="117"/>
      <c r="ED153" s="117"/>
      <c r="EE153" s="117"/>
      <c r="EF153" s="117"/>
      <c r="EG153" s="117"/>
      <c r="EH153" s="117"/>
      <c r="EI153" s="117"/>
      <c r="EJ153" s="117"/>
      <c r="EK153" s="117"/>
      <c r="EL153" s="117"/>
      <c r="EM153" s="117"/>
      <c r="EN153" s="117"/>
      <c r="EO153" s="117"/>
      <c r="EP153" s="117"/>
      <c r="EQ153" s="117"/>
      <c r="ER153" s="117"/>
      <c r="ES153" s="117"/>
      <c r="ET153" s="117"/>
      <c r="EU153" s="117"/>
      <c r="EV153" s="117"/>
      <c r="EW153" s="117"/>
      <c r="EX153" s="117"/>
      <c r="EY153" s="117"/>
      <c r="EZ153" s="117"/>
      <c r="FA153" s="117"/>
      <c r="FB153" s="117"/>
      <c r="FC153" s="117"/>
      <c r="FD153" s="117"/>
      <c r="FE153" s="117"/>
      <c r="FF153" s="117"/>
      <c r="FG153" s="117"/>
      <c r="FH153" s="117"/>
      <c r="FI153" s="117"/>
      <c r="FJ153" s="117"/>
      <c r="FK153" s="117"/>
      <c r="FL153" s="117"/>
      <c r="FM153" s="117"/>
      <c r="FN153" s="117"/>
      <c r="FO153" s="117"/>
      <c r="FP153" s="117"/>
      <c r="FQ153" s="117"/>
      <c r="FR153" s="117"/>
      <c r="FS153" s="117"/>
      <c r="FT153" s="117"/>
    </row>
    <row r="154" spans="1:176" s="166" customFormat="1" x14ac:dyDescent="0.2">
      <c r="A154" s="201"/>
      <c r="B154" s="202"/>
      <c r="C154" s="123"/>
      <c r="D154" s="168"/>
      <c r="E154" s="169"/>
      <c r="F154" s="169"/>
      <c r="G154" s="117"/>
      <c r="H154" s="117"/>
      <c r="I154" s="222"/>
      <c r="J154" s="222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  <c r="AD154" s="117"/>
      <c r="AE154" s="117"/>
      <c r="AF154" s="117"/>
      <c r="AG154" s="117"/>
      <c r="AH154" s="117"/>
      <c r="AI154" s="117"/>
      <c r="AJ154" s="117"/>
      <c r="AK154" s="117"/>
      <c r="AL154" s="117"/>
      <c r="AM154" s="117"/>
      <c r="AN154" s="117"/>
      <c r="AO154" s="117"/>
      <c r="AP154" s="117"/>
      <c r="AQ154" s="117"/>
      <c r="AR154" s="117"/>
      <c r="AS154" s="117"/>
      <c r="AT154" s="117"/>
      <c r="AU154" s="117"/>
      <c r="AV154" s="117"/>
      <c r="AW154" s="117"/>
      <c r="AX154" s="117"/>
      <c r="AY154" s="117"/>
      <c r="AZ154" s="117"/>
      <c r="BA154" s="117"/>
      <c r="BB154" s="117"/>
      <c r="BC154" s="117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7"/>
      <c r="BN154" s="117"/>
      <c r="BO154" s="117"/>
      <c r="BP154" s="117"/>
      <c r="BQ154" s="117"/>
      <c r="BR154" s="117"/>
      <c r="BS154" s="117"/>
      <c r="BT154" s="117"/>
      <c r="BU154" s="117"/>
      <c r="BV154" s="117"/>
      <c r="BW154" s="117"/>
      <c r="BX154" s="117"/>
      <c r="BY154" s="117"/>
      <c r="BZ154" s="117"/>
      <c r="CA154" s="117"/>
      <c r="CB154" s="117"/>
      <c r="CC154" s="117"/>
      <c r="CD154" s="117"/>
      <c r="CE154" s="117"/>
      <c r="CF154" s="117"/>
      <c r="CG154" s="117"/>
      <c r="CH154" s="117"/>
      <c r="CI154" s="117"/>
      <c r="CJ154" s="117"/>
      <c r="CK154" s="117"/>
      <c r="CL154" s="117"/>
      <c r="CM154" s="117"/>
      <c r="CN154" s="117"/>
      <c r="CO154" s="117"/>
      <c r="CP154" s="117"/>
      <c r="CQ154" s="117"/>
      <c r="CR154" s="117"/>
      <c r="CS154" s="117"/>
      <c r="CT154" s="117"/>
      <c r="CU154" s="117"/>
      <c r="CV154" s="117"/>
      <c r="CW154" s="117"/>
      <c r="CX154" s="117"/>
      <c r="CY154" s="117"/>
      <c r="CZ154" s="117"/>
      <c r="DA154" s="117"/>
      <c r="DB154" s="117"/>
      <c r="DC154" s="117"/>
      <c r="DD154" s="117"/>
      <c r="DE154" s="117"/>
      <c r="DF154" s="117"/>
      <c r="DG154" s="117"/>
      <c r="DH154" s="117"/>
      <c r="DI154" s="117"/>
      <c r="DJ154" s="117"/>
      <c r="DK154" s="117"/>
      <c r="DL154" s="117"/>
      <c r="DM154" s="117"/>
      <c r="DN154" s="117"/>
      <c r="DO154" s="117"/>
      <c r="DP154" s="117"/>
      <c r="DQ154" s="117"/>
      <c r="DR154" s="117"/>
      <c r="DS154" s="117"/>
      <c r="DT154" s="117"/>
      <c r="DU154" s="117"/>
      <c r="DV154" s="117"/>
      <c r="DW154" s="117"/>
      <c r="DX154" s="117"/>
      <c r="DY154" s="117"/>
      <c r="DZ154" s="117"/>
      <c r="EA154" s="117"/>
      <c r="EB154" s="117"/>
      <c r="EC154" s="117"/>
      <c r="ED154" s="117"/>
      <c r="EE154" s="117"/>
      <c r="EF154" s="117"/>
      <c r="EG154" s="117"/>
      <c r="EH154" s="117"/>
      <c r="EI154" s="117"/>
      <c r="EJ154" s="117"/>
      <c r="EK154" s="117"/>
      <c r="EL154" s="117"/>
      <c r="EM154" s="117"/>
      <c r="EN154" s="117"/>
      <c r="EO154" s="117"/>
      <c r="EP154" s="117"/>
      <c r="EQ154" s="117"/>
      <c r="ER154" s="117"/>
      <c r="ES154" s="117"/>
      <c r="ET154" s="117"/>
      <c r="EU154" s="117"/>
      <c r="EV154" s="117"/>
      <c r="EW154" s="117"/>
      <c r="EX154" s="117"/>
      <c r="EY154" s="117"/>
      <c r="EZ154" s="117"/>
      <c r="FA154" s="117"/>
      <c r="FB154" s="117"/>
      <c r="FC154" s="117"/>
      <c r="FD154" s="117"/>
      <c r="FE154" s="117"/>
      <c r="FF154" s="117"/>
      <c r="FG154" s="117"/>
      <c r="FH154" s="117"/>
      <c r="FI154" s="117"/>
      <c r="FJ154" s="117"/>
      <c r="FK154" s="117"/>
      <c r="FL154" s="117"/>
      <c r="FM154" s="117"/>
      <c r="FN154" s="117"/>
      <c r="FO154" s="117"/>
      <c r="FP154" s="117"/>
      <c r="FQ154" s="117"/>
      <c r="FR154" s="117"/>
      <c r="FS154" s="117"/>
      <c r="FT154" s="117"/>
    </row>
    <row r="155" spans="1:176" s="166" customFormat="1" x14ac:dyDescent="0.2">
      <c r="A155" s="201"/>
      <c r="B155" s="202"/>
      <c r="C155" s="123"/>
      <c r="D155" s="168"/>
      <c r="E155" s="169"/>
      <c r="F155" s="169"/>
      <c r="G155" s="117"/>
      <c r="H155" s="117"/>
      <c r="I155" s="222"/>
      <c r="J155" s="222"/>
      <c r="K155" s="117"/>
      <c r="L155" s="117"/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/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7"/>
      <c r="BN155" s="117"/>
      <c r="BO155" s="117"/>
      <c r="BP155" s="117"/>
      <c r="BQ155" s="117"/>
      <c r="BR155" s="117"/>
      <c r="BS155" s="117"/>
      <c r="BT155" s="117"/>
      <c r="BU155" s="117"/>
      <c r="BV155" s="117"/>
      <c r="BW155" s="117"/>
      <c r="BX155" s="117"/>
      <c r="BY155" s="117"/>
      <c r="BZ155" s="117"/>
      <c r="CA155" s="117"/>
      <c r="CB155" s="117"/>
      <c r="CC155" s="117"/>
      <c r="CD155" s="117"/>
      <c r="CE155" s="117"/>
      <c r="CF155" s="117"/>
      <c r="CG155" s="117"/>
      <c r="CH155" s="117"/>
      <c r="CI155" s="117"/>
      <c r="CJ155" s="117"/>
      <c r="CK155" s="117"/>
      <c r="CL155" s="117"/>
      <c r="CM155" s="117"/>
      <c r="CN155" s="117"/>
      <c r="CO155" s="117"/>
      <c r="CP155" s="117"/>
      <c r="CQ155" s="117"/>
      <c r="CR155" s="117"/>
      <c r="CS155" s="117"/>
      <c r="CT155" s="117"/>
      <c r="CU155" s="117"/>
      <c r="CV155" s="117"/>
      <c r="CW155" s="117"/>
      <c r="CX155" s="117"/>
      <c r="CY155" s="117"/>
      <c r="CZ155" s="117"/>
      <c r="DA155" s="117"/>
      <c r="DB155" s="117"/>
      <c r="DC155" s="117"/>
      <c r="DD155" s="117"/>
      <c r="DE155" s="117"/>
      <c r="DF155" s="117"/>
      <c r="DG155" s="117"/>
      <c r="DH155" s="117"/>
      <c r="DI155" s="117"/>
      <c r="DJ155" s="117"/>
      <c r="DK155" s="117"/>
      <c r="DL155" s="117"/>
      <c r="DM155" s="117"/>
      <c r="DN155" s="117"/>
      <c r="DO155" s="117"/>
      <c r="DP155" s="117"/>
      <c r="DQ155" s="117"/>
      <c r="DR155" s="117"/>
      <c r="DS155" s="117"/>
      <c r="DT155" s="117"/>
      <c r="DU155" s="117"/>
      <c r="DV155" s="117"/>
      <c r="DW155" s="117"/>
      <c r="DX155" s="117"/>
      <c r="DY155" s="117"/>
      <c r="DZ155" s="117"/>
      <c r="EA155" s="117"/>
      <c r="EB155" s="117"/>
      <c r="EC155" s="117"/>
      <c r="ED155" s="117"/>
      <c r="EE155" s="117"/>
      <c r="EF155" s="117"/>
      <c r="EG155" s="117"/>
      <c r="EH155" s="117"/>
      <c r="EI155" s="117"/>
      <c r="EJ155" s="117"/>
      <c r="EK155" s="117"/>
      <c r="EL155" s="117"/>
      <c r="EM155" s="117"/>
      <c r="EN155" s="117"/>
      <c r="EO155" s="117"/>
      <c r="EP155" s="117"/>
      <c r="EQ155" s="117"/>
      <c r="ER155" s="117"/>
      <c r="ES155" s="117"/>
      <c r="ET155" s="117"/>
      <c r="EU155" s="117"/>
      <c r="EV155" s="117"/>
      <c r="EW155" s="117"/>
      <c r="EX155" s="117"/>
      <c r="EY155" s="117"/>
      <c r="EZ155" s="117"/>
      <c r="FA155" s="117"/>
      <c r="FB155" s="117"/>
      <c r="FC155" s="117"/>
      <c r="FD155" s="117"/>
      <c r="FE155" s="117"/>
      <c r="FF155" s="117"/>
      <c r="FG155" s="117"/>
      <c r="FH155" s="117"/>
      <c r="FI155" s="117"/>
      <c r="FJ155" s="117"/>
      <c r="FK155" s="117"/>
      <c r="FL155" s="117"/>
      <c r="FM155" s="117"/>
      <c r="FN155" s="117"/>
      <c r="FO155" s="117"/>
      <c r="FP155" s="117"/>
      <c r="FQ155" s="117"/>
      <c r="FR155" s="117"/>
      <c r="FS155" s="117"/>
      <c r="FT155" s="117"/>
    </row>
    <row r="156" spans="1:176" s="166" customFormat="1" x14ac:dyDescent="0.2">
      <c r="A156" s="201"/>
      <c r="B156" s="202"/>
      <c r="C156" s="123"/>
      <c r="D156" s="168"/>
      <c r="E156" s="169"/>
      <c r="F156" s="169"/>
      <c r="G156" s="117"/>
      <c r="H156" s="117"/>
      <c r="I156" s="222"/>
      <c r="J156" s="222"/>
      <c r="K156" s="117"/>
      <c r="L156" s="117"/>
      <c r="M156" s="117"/>
      <c r="N156" s="117"/>
      <c r="O156" s="117"/>
      <c r="P156" s="117"/>
      <c r="Q156" s="117"/>
      <c r="R156" s="117"/>
      <c r="S156" s="117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7"/>
      <c r="AR156" s="117"/>
      <c r="AS156" s="117"/>
      <c r="AT156" s="117"/>
      <c r="AU156" s="117"/>
      <c r="AV156" s="117"/>
      <c r="AW156" s="117"/>
      <c r="AX156" s="117"/>
      <c r="AY156" s="117"/>
      <c r="AZ156" s="117"/>
      <c r="BA156" s="117"/>
      <c r="BB156" s="117"/>
      <c r="BC156" s="117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7"/>
      <c r="BN156" s="117"/>
      <c r="BO156" s="117"/>
      <c r="BP156" s="117"/>
      <c r="BQ156" s="117"/>
      <c r="BR156" s="117"/>
      <c r="BS156" s="117"/>
      <c r="BT156" s="117"/>
      <c r="BU156" s="117"/>
      <c r="BV156" s="117"/>
      <c r="BW156" s="117"/>
      <c r="BX156" s="117"/>
      <c r="BY156" s="117"/>
      <c r="BZ156" s="117"/>
      <c r="CA156" s="117"/>
      <c r="CB156" s="117"/>
      <c r="CC156" s="117"/>
      <c r="CD156" s="117"/>
      <c r="CE156" s="117"/>
      <c r="CF156" s="117"/>
      <c r="CG156" s="117"/>
      <c r="CH156" s="117"/>
      <c r="CI156" s="117"/>
      <c r="CJ156" s="117"/>
      <c r="CK156" s="117"/>
      <c r="CL156" s="117"/>
      <c r="CM156" s="117"/>
      <c r="CN156" s="117"/>
      <c r="CO156" s="117"/>
      <c r="CP156" s="117"/>
      <c r="CQ156" s="117"/>
      <c r="CR156" s="117"/>
      <c r="CS156" s="117"/>
      <c r="CT156" s="117"/>
      <c r="CU156" s="117"/>
      <c r="CV156" s="117"/>
      <c r="CW156" s="117"/>
      <c r="CX156" s="117"/>
      <c r="CY156" s="117"/>
      <c r="CZ156" s="117"/>
      <c r="DA156" s="117"/>
      <c r="DB156" s="117"/>
      <c r="DC156" s="117"/>
      <c r="DD156" s="117"/>
      <c r="DE156" s="117"/>
      <c r="DF156" s="117"/>
      <c r="DG156" s="117"/>
      <c r="DH156" s="117"/>
      <c r="DI156" s="117"/>
      <c r="DJ156" s="117"/>
      <c r="DK156" s="117"/>
      <c r="DL156" s="117"/>
      <c r="DM156" s="117"/>
      <c r="DN156" s="117"/>
      <c r="DO156" s="117"/>
      <c r="DP156" s="117"/>
      <c r="DQ156" s="117"/>
      <c r="DR156" s="117"/>
      <c r="DS156" s="117"/>
      <c r="DT156" s="117"/>
      <c r="DU156" s="117"/>
      <c r="DV156" s="117"/>
      <c r="DW156" s="117"/>
      <c r="DX156" s="117"/>
      <c r="DY156" s="117"/>
      <c r="DZ156" s="117"/>
      <c r="EA156" s="117"/>
      <c r="EB156" s="117"/>
      <c r="EC156" s="117"/>
      <c r="ED156" s="117"/>
      <c r="EE156" s="117"/>
      <c r="EF156" s="117"/>
      <c r="EG156" s="117"/>
      <c r="EH156" s="117"/>
      <c r="EI156" s="117"/>
      <c r="EJ156" s="117"/>
      <c r="EK156" s="117"/>
      <c r="EL156" s="117"/>
      <c r="EM156" s="117"/>
      <c r="EN156" s="117"/>
      <c r="EO156" s="117"/>
      <c r="EP156" s="117"/>
      <c r="EQ156" s="117"/>
      <c r="ER156" s="117"/>
      <c r="ES156" s="117"/>
      <c r="ET156" s="117"/>
      <c r="EU156" s="117"/>
      <c r="EV156" s="117"/>
      <c r="EW156" s="117"/>
      <c r="EX156" s="117"/>
      <c r="EY156" s="117"/>
      <c r="EZ156" s="117"/>
      <c r="FA156" s="117"/>
      <c r="FB156" s="117"/>
      <c r="FC156" s="117"/>
      <c r="FD156" s="117"/>
      <c r="FE156" s="117"/>
      <c r="FF156" s="117"/>
      <c r="FG156" s="117"/>
      <c r="FH156" s="117"/>
      <c r="FI156" s="117"/>
      <c r="FJ156" s="117"/>
      <c r="FK156" s="117"/>
      <c r="FL156" s="117"/>
      <c r="FM156" s="117"/>
      <c r="FN156" s="117"/>
      <c r="FO156" s="117"/>
      <c r="FP156" s="117"/>
      <c r="FQ156" s="117"/>
      <c r="FR156" s="117"/>
      <c r="FS156" s="117"/>
      <c r="FT156" s="117"/>
    </row>
    <row r="158" spans="1:176" s="166" customFormat="1" x14ac:dyDescent="0.2">
      <c r="A158" s="202"/>
      <c r="B158" s="202"/>
      <c r="C158" s="117"/>
      <c r="D158" s="117"/>
      <c r="E158" s="117"/>
      <c r="F158" s="117"/>
      <c r="G158" s="117"/>
      <c r="H158" s="117"/>
      <c r="I158" s="222"/>
      <c r="J158" s="222"/>
      <c r="K158" s="117"/>
      <c r="L158" s="117"/>
      <c r="M158" s="117"/>
      <c r="N158" s="117"/>
      <c r="O158" s="117"/>
      <c r="P158" s="117"/>
      <c r="Q158" s="117"/>
      <c r="R158" s="117"/>
      <c r="S158" s="117"/>
      <c r="T158" s="117"/>
      <c r="U158" s="117"/>
      <c r="V158" s="117"/>
      <c r="W158" s="117"/>
      <c r="X158" s="117"/>
      <c r="Y158" s="117"/>
      <c r="Z158" s="117"/>
      <c r="AA158" s="117"/>
      <c r="AB158" s="117"/>
      <c r="AC158" s="117"/>
      <c r="AD158" s="117"/>
      <c r="AE158" s="117"/>
      <c r="AF158" s="117"/>
      <c r="AG158" s="117"/>
      <c r="AH158" s="117"/>
      <c r="AI158" s="117"/>
      <c r="AJ158" s="117"/>
      <c r="AK158" s="117"/>
      <c r="AL158" s="117"/>
      <c r="AM158" s="117"/>
      <c r="AN158" s="117"/>
      <c r="AO158" s="117"/>
      <c r="AP158" s="117"/>
      <c r="AQ158" s="117"/>
      <c r="AR158" s="117"/>
      <c r="AS158" s="117"/>
      <c r="AT158" s="117"/>
      <c r="AU158" s="117"/>
      <c r="AV158" s="117"/>
      <c r="AW158" s="117"/>
      <c r="AX158" s="117"/>
      <c r="AY158" s="117"/>
      <c r="AZ158" s="117"/>
      <c r="BA158" s="117"/>
      <c r="BB158" s="117"/>
      <c r="BC158" s="117"/>
      <c r="BD158" s="117"/>
      <c r="BE158" s="117"/>
      <c r="BF158" s="117"/>
      <c r="BG158" s="117"/>
      <c r="BH158" s="117"/>
      <c r="BI158" s="117"/>
      <c r="BJ158" s="117"/>
      <c r="BK158" s="117"/>
      <c r="BL158" s="117"/>
      <c r="BM158" s="117"/>
      <c r="BN158" s="117"/>
      <c r="BO158" s="117"/>
      <c r="BP158" s="117"/>
      <c r="BQ158" s="117"/>
      <c r="BR158" s="117"/>
      <c r="BS158" s="117"/>
      <c r="BT158" s="117"/>
      <c r="BU158" s="117"/>
      <c r="BV158" s="117"/>
      <c r="BW158" s="117"/>
      <c r="BX158" s="117"/>
      <c r="BY158" s="117"/>
      <c r="BZ158" s="117"/>
      <c r="CA158" s="117"/>
      <c r="CB158" s="117"/>
      <c r="CC158" s="117"/>
      <c r="CD158" s="117"/>
      <c r="CE158" s="117"/>
      <c r="CF158" s="117"/>
      <c r="CG158" s="117"/>
      <c r="CH158" s="117"/>
      <c r="CI158" s="117"/>
      <c r="CJ158" s="117"/>
      <c r="CK158" s="117"/>
      <c r="CL158" s="117"/>
      <c r="CM158" s="117"/>
      <c r="CN158" s="117"/>
      <c r="CO158" s="117"/>
      <c r="CP158" s="117"/>
      <c r="CQ158" s="117"/>
      <c r="CR158" s="117"/>
      <c r="CS158" s="117"/>
      <c r="CT158" s="117"/>
      <c r="CU158" s="117"/>
      <c r="CV158" s="117"/>
      <c r="CW158" s="117"/>
      <c r="CX158" s="117"/>
      <c r="CY158" s="117"/>
      <c r="CZ158" s="117"/>
      <c r="DA158" s="117"/>
      <c r="DB158" s="117"/>
      <c r="DC158" s="117"/>
      <c r="DD158" s="117"/>
      <c r="DE158" s="117"/>
      <c r="DF158" s="117"/>
      <c r="DG158" s="117"/>
      <c r="DH158" s="117"/>
      <c r="DI158" s="117"/>
      <c r="DJ158" s="117"/>
      <c r="DK158" s="117"/>
      <c r="DL158" s="117"/>
      <c r="DM158" s="117"/>
      <c r="DN158" s="117"/>
      <c r="DO158" s="117"/>
      <c r="DP158" s="117"/>
      <c r="DQ158" s="117"/>
      <c r="DR158" s="117"/>
      <c r="DS158" s="117"/>
      <c r="DT158" s="117"/>
      <c r="DU158" s="117"/>
      <c r="DV158" s="117"/>
      <c r="DW158" s="117"/>
      <c r="DX158" s="117"/>
      <c r="DY158" s="117"/>
      <c r="DZ158" s="117"/>
      <c r="EA158" s="117"/>
      <c r="EB158" s="117"/>
      <c r="EC158" s="117"/>
      <c r="ED158" s="117"/>
      <c r="EE158" s="117"/>
      <c r="EF158" s="117"/>
      <c r="EG158" s="117"/>
      <c r="EH158" s="117"/>
      <c r="EI158" s="117"/>
      <c r="EJ158" s="117"/>
      <c r="EK158" s="117"/>
      <c r="EL158" s="117"/>
      <c r="EM158" s="117"/>
      <c r="EN158" s="117"/>
      <c r="EO158" s="117"/>
      <c r="EP158" s="117"/>
      <c r="EQ158" s="117"/>
      <c r="ER158" s="117"/>
      <c r="ES158" s="117"/>
      <c r="ET158" s="117"/>
      <c r="EU158" s="117"/>
      <c r="EV158" s="117"/>
      <c r="EW158" s="117"/>
      <c r="EX158" s="117"/>
      <c r="EY158" s="117"/>
      <c r="EZ158" s="117"/>
      <c r="FA158" s="117"/>
      <c r="FB158" s="117"/>
      <c r="FC158" s="117"/>
      <c r="FD158" s="117"/>
      <c r="FE158" s="117"/>
      <c r="FF158" s="117"/>
      <c r="FG158" s="117"/>
      <c r="FH158" s="117"/>
      <c r="FI158" s="117"/>
      <c r="FJ158" s="117"/>
      <c r="FK158" s="117"/>
      <c r="FL158" s="117"/>
      <c r="FM158" s="117"/>
      <c r="FN158" s="117"/>
      <c r="FO158" s="117"/>
      <c r="FP158" s="117"/>
      <c r="FQ158" s="117"/>
      <c r="FR158" s="117"/>
      <c r="FS158" s="117"/>
      <c r="FT158" s="117"/>
    </row>
    <row r="159" spans="1:176" s="166" customFormat="1" x14ac:dyDescent="0.2">
      <c r="A159" s="202"/>
      <c r="B159" s="202"/>
      <c r="C159" s="117"/>
      <c r="D159" s="117"/>
      <c r="E159" s="117"/>
      <c r="F159" s="117"/>
      <c r="G159" s="117"/>
      <c r="H159" s="117"/>
      <c r="I159" s="222"/>
      <c r="J159" s="222"/>
      <c r="K159" s="117"/>
      <c r="L159" s="117"/>
      <c r="M159" s="117"/>
      <c r="N159" s="117"/>
      <c r="O159" s="117"/>
      <c r="P159" s="117"/>
      <c r="Q159" s="117"/>
      <c r="R159" s="117"/>
      <c r="S159" s="117"/>
      <c r="T159" s="117"/>
      <c r="U159" s="117"/>
      <c r="V159" s="117"/>
      <c r="W159" s="117"/>
      <c r="X159" s="117"/>
      <c r="Y159" s="117"/>
      <c r="Z159" s="117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/>
      <c r="AY159" s="117"/>
      <c r="AZ159" s="117"/>
      <c r="BA159" s="117"/>
      <c r="BB159" s="117"/>
      <c r="BC159" s="117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17"/>
      <c r="BR159" s="117"/>
      <c r="BS159" s="117"/>
      <c r="BT159" s="117"/>
      <c r="BU159" s="117"/>
      <c r="BV159" s="117"/>
      <c r="BW159" s="117"/>
      <c r="BX159" s="117"/>
      <c r="BY159" s="117"/>
      <c r="BZ159" s="117"/>
      <c r="CA159" s="117"/>
      <c r="CB159" s="117"/>
      <c r="CC159" s="117"/>
      <c r="CD159" s="117"/>
      <c r="CE159" s="117"/>
      <c r="CF159" s="117"/>
      <c r="CG159" s="117"/>
      <c r="CH159" s="117"/>
      <c r="CI159" s="117"/>
      <c r="CJ159" s="117"/>
      <c r="CK159" s="117"/>
      <c r="CL159" s="117"/>
      <c r="CM159" s="117"/>
      <c r="CN159" s="117"/>
      <c r="CO159" s="117"/>
      <c r="CP159" s="117"/>
      <c r="CQ159" s="117"/>
      <c r="CR159" s="117"/>
      <c r="CS159" s="117"/>
      <c r="CT159" s="117"/>
      <c r="CU159" s="117"/>
      <c r="CV159" s="117"/>
      <c r="CW159" s="117"/>
      <c r="CX159" s="117"/>
      <c r="CY159" s="117"/>
      <c r="CZ159" s="117"/>
      <c r="DA159" s="117"/>
      <c r="DB159" s="117"/>
      <c r="DC159" s="117"/>
      <c r="DD159" s="117"/>
      <c r="DE159" s="117"/>
      <c r="DF159" s="117"/>
      <c r="DG159" s="117"/>
      <c r="DH159" s="117"/>
      <c r="DI159" s="117"/>
      <c r="DJ159" s="117"/>
      <c r="DK159" s="117"/>
      <c r="DL159" s="117"/>
      <c r="DM159" s="117"/>
      <c r="DN159" s="117"/>
      <c r="DO159" s="117"/>
      <c r="DP159" s="117"/>
      <c r="DQ159" s="117"/>
      <c r="DR159" s="117"/>
      <c r="DS159" s="117"/>
      <c r="DT159" s="117"/>
      <c r="DU159" s="117"/>
      <c r="DV159" s="117"/>
      <c r="DW159" s="117"/>
      <c r="DX159" s="117"/>
      <c r="DY159" s="117"/>
      <c r="DZ159" s="117"/>
      <c r="EA159" s="117"/>
      <c r="EB159" s="117"/>
      <c r="EC159" s="117"/>
      <c r="ED159" s="117"/>
      <c r="EE159" s="117"/>
      <c r="EF159" s="117"/>
      <c r="EG159" s="117"/>
      <c r="EH159" s="117"/>
      <c r="EI159" s="117"/>
      <c r="EJ159" s="117"/>
      <c r="EK159" s="117"/>
      <c r="EL159" s="117"/>
      <c r="EM159" s="117"/>
      <c r="EN159" s="117"/>
      <c r="EO159" s="117"/>
      <c r="EP159" s="117"/>
      <c r="EQ159" s="117"/>
      <c r="ER159" s="117"/>
      <c r="ES159" s="117"/>
      <c r="ET159" s="117"/>
      <c r="EU159" s="117"/>
      <c r="EV159" s="117"/>
      <c r="EW159" s="117"/>
      <c r="EX159" s="117"/>
      <c r="EY159" s="117"/>
      <c r="EZ159" s="117"/>
      <c r="FA159" s="117"/>
      <c r="FB159" s="117"/>
      <c r="FC159" s="117"/>
      <c r="FD159" s="117"/>
      <c r="FE159" s="117"/>
      <c r="FF159" s="117"/>
      <c r="FG159" s="117"/>
      <c r="FH159" s="117"/>
      <c r="FI159" s="117"/>
      <c r="FJ159" s="117"/>
      <c r="FK159" s="117"/>
      <c r="FL159" s="117"/>
      <c r="FM159" s="117"/>
      <c r="FN159" s="117"/>
      <c r="FO159" s="117"/>
      <c r="FP159" s="117"/>
      <c r="FQ159" s="117"/>
      <c r="FR159" s="117"/>
      <c r="FS159" s="117"/>
      <c r="FT159" s="117"/>
    </row>
    <row r="160" spans="1:176" s="166" customFormat="1" x14ac:dyDescent="0.2">
      <c r="A160" s="202"/>
      <c r="B160" s="202"/>
      <c r="C160" s="117"/>
      <c r="D160" s="117"/>
      <c r="E160" s="117"/>
      <c r="F160" s="117"/>
      <c r="G160" s="117"/>
      <c r="H160" s="117"/>
      <c r="I160" s="222"/>
      <c r="J160" s="222"/>
      <c r="K160" s="117"/>
      <c r="L160" s="117"/>
      <c r="M160" s="117"/>
      <c r="N160" s="117"/>
      <c r="O160" s="117"/>
      <c r="P160" s="117"/>
      <c r="Q160" s="117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7"/>
      <c r="AF160" s="117"/>
      <c r="AG160" s="117"/>
      <c r="AH160" s="117"/>
      <c r="AI160" s="117"/>
      <c r="AJ160" s="117"/>
      <c r="AK160" s="117"/>
      <c r="AL160" s="117"/>
      <c r="AM160" s="117"/>
      <c r="AN160" s="117"/>
      <c r="AO160" s="117"/>
      <c r="AP160" s="117"/>
      <c r="AQ160" s="117"/>
      <c r="AR160" s="117"/>
      <c r="AS160" s="117"/>
      <c r="AT160" s="117"/>
      <c r="AU160" s="117"/>
      <c r="AV160" s="117"/>
      <c r="AW160" s="117"/>
      <c r="AX160" s="117"/>
      <c r="AY160" s="117"/>
      <c r="AZ160" s="117"/>
      <c r="BA160" s="117"/>
      <c r="BB160" s="117"/>
      <c r="BC160" s="117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17"/>
      <c r="BR160" s="117"/>
      <c r="BS160" s="117"/>
      <c r="BT160" s="117"/>
      <c r="BU160" s="117"/>
      <c r="BV160" s="117"/>
      <c r="BW160" s="117"/>
      <c r="BX160" s="117"/>
      <c r="BY160" s="117"/>
      <c r="BZ160" s="117"/>
      <c r="CA160" s="117"/>
      <c r="CB160" s="117"/>
      <c r="CC160" s="117"/>
      <c r="CD160" s="117"/>
      <c r="CE160" s="117"/>
      <c r="CF160" s="117"/>
      <c r="CG160" s="117"/>
      <c r="CH160" s="117"/>
      <c r="CI160" s="117"/>
      <c r="CJ160" s="117"/>
      <c r="CK160" s="117"/>
      <c r="CL160" s="117"/>
      <c r="CM160" s="117"/>
      <c r="CN160" s="117"/>
      <c r="CO160" s="117"/>
      <c r="CP160" s="117"/>
      <c r="CQ160" s="117"/>
      <c r="CR160" s="117"/>
      <c r="CS160" s="117"/>
      <c r="CT160" s="117"/>
      <c r="CU160" s="117"/>
      <c r="CV160" s="117"/>
      <c r="CW160" s="117"/>
      <c r="CX160" s="117"/>
      <c r="CY160" s="117"/>
      <c r="CZ160" s="117"/>
      <c r="DA160" s="117"/>
      <c r="DB160" s="117"/>
      <c r="DC160" s="117"/>
      <c r="DD160" s="117"/>
      <c r="DE160" s="117"/>
      <c r="DF160" s="117"/>
      <c r="DG160" s="117"/>
      <c r="DH160" s="117"/>
      <c r="DI160" s="117"/>
      <c r="DJ160" s="117"/>
      <c r="DK160" s="117"/>
      <c r="DL160" s="117"/>
      <c r="DM160" s="117"/>
      <c r="DN160" s="117"/>
      <c r="DO160" s="117"/>
      <c r="DP160" s="117"/>
      <c r="DQ160" s="117"/>
      <c r="DR160" s="117"/>
      <c r="DS160" s="117"/>
      <c r="DT160" s="117"/>
      <c r="DU160" s="117"/>
      <c r="DV160" s="117"/>
      <c r="DW160" s="117"/>
      <c r="DX160" s="117"/>
      <c r="DY160" s="117"/>
      <c r="DZ160" s="117"/>
      <c r="EA160" s="117"/>
      <c r="EB160" s="117"/>
      <c r="EC160" s="117"/>
      <c r="ED160" s="117"/>
      <c r="EE160" s="117"/>
      <c r="EF160" s="117"/>
      <c r="EG160" s="117"/>
      <c r="EH160" s="117"/>
      <c r="EI160" s="117"/>
      <c r="EJ160" s="117"/>
      <c r="EK160" s="117"/>
      <c r="EL160" s="117"/>
      <c r="EM160" s="117"/>
      <c r="EN160" s="117"/>
      <c r="EO160" s="117"/>
      <c r="EP160" s="117"/>
      <c r="EQ160" s="117"/>
      <c r="ER160" s="117"/>
      <c r="ES160" s="117"/>
      <c r="ET160" s="117"/>
      <c r="EU160" s="117"/>
      <c r="EV160" s="117"/>
      <c r="EW160" s="117"/>
      <c r="EX160" s="117"/>
      <c r="EY160" s="117"/>
      <c r="EZ160" s="117"/>
      <c r="FA160" s="117"/>
      <c r="FB160" s="117"/>
      <c r="FC160" s="117"/>
      <c r="FD160" s="117"/>
      <c r="FE160" s="117"/>
      <c r="FF160" s="117"/>
      <c r="FG160" s="117"/>
      <c r="FH160" s="117"/>
      <c r="FI160" s="117"/>
      <c r="FJ160" s="117"/>
      <c r="FK160" s="117"/>
      <c r="FL160" s="117"/>
      <c r="FM160" s="117"/>
      <c r="FN160" s="117"/>
      <c r="FO160" s="117"/>
      <c r="FP160" s="117"/>
      <c r="FQ160" s="117"/>
      <c r="FR160" s="117"/>
      <c r="FS160" s="117"/>
      <c r="FT160" s="117"/>
    </row>
  </sheetData>
  <mergeCells count="125">
    <mergeCell ref="A15:G15"/>
    <mergeCell ref="B16:J16"/>
    <mergeCell ref="C17:J17"/>
    <mergeCell ref="C18:J18"/>
    <mergeCell ref="C19:F19"/>
    <mergeCell ref="C20:F20"/>
    <mergeCell ref="A1:J1"/>
    <mergeCell ref="A2:J2"/>
    <mergeCell ref="C3:F3"/>
    <mergeCell ref="B4:J4"/>
    <mergeCell ref="C5:J5"/>
    <mergeCell ref="C6:J6"/>
    <mergeCell ref="C27:F27"/>
    <mergeCell ref="C28:J28"/>
    <mergeCell ref="C29:F29"/>
    <mergeCell ref="C30:F30"/>
    <mergeCell ref="C31:J31"/>
    <mergeCell ref="C32:F32"/>
    <mergeCell ref="C21:F21"/>
    <mergeCell ref="B22:I22"/>
    <mergeCell ref="B23:J23"/>
    <mergeCell ref="C24:J24"/>
    <mergeCell ref="C25:J25"/>
    <mergeCell ref="C26:F26"/>
    <mergeCell ref="A39:A40"/>
    <mergeCell ref="B39:B40"/>
    <mergeCell ref="C39:F39"/>
    <mergeCell ref="C41:F41"/>
    <mergeCell ref="C42:F42"/>
    <mergeCell ref="C43:F43"/>
    <mergeCell ref="C33:F33"/>
    <mergeCell ref="C34:F34"/>
    <mergeCell ref="C35:F35"/>
    <mergeCell ref="C36:F36"/>
    <mergeCell ref="A37:A38"/>
    <mergeCell ref="B37:B38"/>
    <mergeCell ref="C37:F37"/>
    <mergeCell ref="C50:F50"/>
    <mergeCell ref="A51:J51"/>
    <mergeCell ref="A52:I52"/>
    <mergeCell ref="C53:J53"/>
    <mergeCell ref="C54:F54"/>
    <mergeCell ref="C57:J57"/>
    <mergeCell ref="A44:I44"/>
    <mergeCell ref="C45:J45"/>
    <mergeCell ref="C46:J46"/>
    <mergeCell ref="C47:F47"/>
    <mergeCell ref="C48:F48"/>
    <mergeCell ref="C49:F49"/>
    <mergeCell ref="C67:F67"/>
    <mergeCell ref="C68:F68"/>
    <mergeCell ref="C69:J69"/>
    <mergeCell ref="C70:F70"/>
    <mergeCell ref="C71:F71"/>
    <mergeCell ref="C72:J72"/>
    <mergeCell ref="C58:F58"/>
    <mergeCell ref="C59:F59"/>
    <mergeCell ref="A63:J63"/>
    <mergeCell ref="A64:I64"/>
    <mergeCell ref="C65:J65"/>
    <mergeCell ref="C66:J66"/>
    <mergeCell ref="C79:F79"/>
    <mergeCell ref="A80:J80"/>
    <mergeCell ref="A81:I81"/>
    <mergeCell ref="C82:J82"/>
    <mergeCell ref="C83:F83"/>
    <mergeCell ref="C86:J86"/>
    <mergeCell ref="C73:F73"/>
    <mergeCell ref="C74:F74"/>
    <mergeCell ref="C75:F75"/>
    <mergeCell ref="C76:F76"/>
    <mergeCell ref="C77:J77"/>
    <mergeCell ref="C78:F78"/>
    <mergeCell ref="C100:F100"/>
    <mergeCell ref="C101:J101"/>
    <mergeCell ref="C102:F102"/>
    <mergeCell ref="C103:F103"/>
    <mergeCell ref="A104:J104"/>
    <mergeCell ref="A105:I105"/>
    <mergeCell ref="C89:F89"/>
    <mergeCell ref="C92:J92"/>
    <mergeCell ref="C94:F94"/>
    <mergeCell ref="C97:F97"/>
    <mergeCell ref="C98:F98"/>
    <mergeCell ref="C99:F99"/>
    <mergeCell ref="C112:F112"/>
    <mergeCell ref="C113:F113"/>
    <mergeCell ref="C114:J114"/>
    <mergeCell ref="C115:F115"/>
    <mergeCell ref="C116:F116"/>
    <mergeCell ref="A117:J117"/>
    <mergeCell ref="C106:J106"/>
    <mergeCell ref="C107:J107"/>
    <mergeCell ref="C108:F108"/>
    <mergeCell ref="C109:F109"/>
    <mergeCell ref="C110:F110"/>
    <mergeCell ref="C111:F111"/>
    <mergeCell ref="C124:F124"/>
    <mergeCell ref="C125:J125"/>
    <mergeCell ref="C126:F126"/>
    <mergeCell ref="C127:F127"/>
    <mergeCell ref="A128:J128"/>
    <mergeCell ref="A129:I129"/>
    <mergeCell ref="A118:I118"/>
    <mergeCell ref="C119:J119"/>
    <mergeCell ref="C120:J120"/>
    <mergeCell ref="C121:F121"/>
    <mergeCell ref="C122:F122"/>
    <mergeCell ref="C123:F123"/>
    <mergeCell ref="C137:F137"/>
    <mergeCell ref="C138:F138"/>
    <mergeCell ref="C139:F139"/>
    <mergeCell ref="A140:J140"/>
    <mergeCell ref="A141:J141"/>
    <mergeCell ref="A142:I142"/>
    <mergeCell ref="C130:J130"/>
    <mergeCell ref="C132:J132"/>
    <mergeCell ref="C133:F133"/>
    <mergeCell ref="C134:F134"/>
    <mergeCell ref="C135:J135"/>
    <mergeCell ref="C136:F136"/>
    <mergeCell ref="A144:I144"/>
    <mergeCell ref="A145:I145"/>
    <mergeCell ref="A146:I146"/>
    <mergeCell ref="A143:I143"/>
  </mergeCells>
  <printOptions gridLines="1"/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Q152"/>
  <sheetViews>
    <sheetView view="pageBreakPreview" topLeftCell="A119" zoomScaleNormal="85" zoomScaleSheetLayoutView="100" workbookViewId="0">
      <selection activeCell="G153" sqref="G153"/>
    </sheetView>
  </sheetViews>
  <sheetFormatPr defaultRowHeight="15" x14ac:dyDescent="0.2"/>
  <cols>
    <col min="1" max="1" width="10.28515625" style="201" customWidth="1"/>
    <col min="2" max="2" width="23.42578125" style="202" customWidth="1"/>
    <col min="3" max="3" width="65.7109375" style="123" customWidth="1"/>
    <col min="4" max="4" width="10.42578125" style="168" customWidth="1"/>
    <col min="5" max="5" width="9.7109375" style="169" hidden="1" customWidth="1"/>
    <col min="6" max="6" width="20.140625" style="170" customWidth="1"/>
    <col min="7" max="7" width="14" style="166" customWidth="1"/>
    <col min="8" max="8" width="16.140625" style="166" customWidth="1"/>
    <col min="9" max="9" width="13.140625" style="117" customWidth="1"/>
    <col min="10" max="16384" width="9.140625" style="117"/>
  </cols>
  <sheetData>
    <row r="1" spans="1:8" s="115" customFormat="1" ht="29.25" customHeight="1" x14ac:dyDescent="0.2">
      <c r="A1" s="359" t="s">
        <v>376</v>
      </c>
      <c r="B1" s="359"/>
      <c r="C1" s="359"/>
      <c r="D1" s="359"/>
      <c r="E1" s="359"/>
      <c r="F1" s="359"/>
      <c r="G1" s="359"/>
      <c r="H1" s="359"/>
    </row>
    <row r="2" spans="1:8" s="115" customFormat="1" ht="38.25" customHeight="1" x14ac:dyDescent="0.2">
      <c r="A2" s="360" t="s">
        <v>391</v>
      </c>
      <c r="B2" s="361"/>
      <c r="C2" s="361"/>
      <c r="D2" s="361"/>
      <c r="E2" s="361"/>
      <c r="F2" s="361"/>
      <c r="G2" s="361"/>
      <c r="H2" s="362"/>
    </row>
    <row r="3" spans="1:8" ht="45" customHeight="1" x14ac:dyDescent="0.2">
      <c r="A3" s="191" t="s">
        <v>185</v>
      </c>
      <c r="B3" s="205" t="s">
        <v>290</v>
      </c>
      <c r="C3" s="363" t="s">
        <v>388</v>
      </c>
      <c r="D3" s="363"/>
      <c r="E3" s="363"/>
      <c r="F3" s="363"/>
      <c r="G3" s="127" t="s">
        <v>186</v>
      </c>
      <c r="H3" s="203" t="s">
        <v>187</v>
      </c>
    </row>
    <row r="4" spans="1:8" ht="19.5" hidden="1" customHeight="1" x14ac:dyDescent="0.2">
      <c r="A4" s="200" t="s">
        <v>1</v>
      </c>
      <c r="B4" s="315" t="s">
        <v>22</v>
      </c>
      <c r="C4" s="315"/>
      <c r="D4" s="315"/>
      <c r="E4" s="315"/>
      <c r="F4" s="315"/>
      <c r="G4" s="315"/>
      <c r="H4" s="315"/>
    </row>
    <row r="5" spans="1:8" ht="26.25" hidden="1" customHeight="1" x14ac:dyDescent="0.2">
      <c r="A5" s="198" t="s">
        <v>12</v>
      </c>
      <c r="B5" s="198" t="s">
        <v>188</v>
      </c>
      <c r="C5" s="320" t="s">
        <v>9</v>
      </c>
      <c r="D5" s="320"/>
      <c r="E5" s="320"/>
      <c r="F5" s="320"/>
      <c r="G5" s="320"/>
      <c r="H5" s="320"/>
    </row>
    <row r="6" spans="1:8" ht="18.75" hidden="1" customHeight="1" x14ac:dyDescent="0.2">
      <c r="A6" s="171" t="s">
        <v>2</v>
      </c>
      <c r="B6" s="171" t="s">
        <v>189</v>
      </c>
      <c r="C6" s="321" t="s">
        <v>190</v>
      </c>
      <c r="D6" s="321"/>
      <c r="E6" s="321"/>
      <c r="F6" s="321"/>
      <c r="G6" s="321"/>
      <c r="H6" s="321"/>
    </row>
    <row r="7" spans="1:8" ht="18.75" hidden="1" customHeight="1" x14ac:dyDescent="0.2">
      <c r="A7" s="191" t="s">
        <v>191</v>
      </c>
      <c r="B7" s="191" t="str">
        <f t="shared" ref="B7:B14" si="0">B6</f>
        <v>00.00.00</v>
      </c>
      <c r="C7" s="118" t="s">
        <v>192</v>
      </c>
      <c r="D7" s="119" t="s">
        <v>193</v>
      </c>
      <c r="E7" s="120">
        <v>1</v>
      </c>
      <c r="F7" s="120">
        <f t="shared" ref="F7:F14" si="1">E7</f>
        <v>1</v>
      </c>
      <c r="G7" s="121">
        <v>1000</v>
      </c>
      <c r="H7" s="121"/>
    </row>
    <row r="8" spans="1:8" ht="40.5" hidden="1" customHeight="1" x14ac:dyDescent="0.2">
      <c r="A8" s="191" t="s">
        <v>194</v>
      </c>
      <c r="B8" s="191" t="str">
        <f t="shared" si="0"/>
        <v>00.00.00</v>
      </c>
      <c r="C8" s="118" t="s">
        <v>195</v>
      </c>
      <c r="D8" s="119" t="s">
        <v>193</v>
      </c>
      <c r="E8" s="120">
        <v>1</v>
      </c>
      <c r="F8" s="120">
        <f t="shared" si="1"/>
        <v>1</v>
      </c>
      <c r="G8" s="121">
        <v>780</v>
      </c>
      <c r="H8" s="121"/>
    </row>
    <row r="9" spans="1:8" ht="31.5" hidden="1" customHeight="1" x14ac:dyDescent="0.2">
      <c r="A9" s="191" t="s">
        <v>196</v>
      </c>
      <c r="B9" s="191" t="str">
        <f t="shared" si="0"/>
        <v>00.00.00</v>
      </c>
      <c r="C9" s="118" t="s">
        <v>197</v>
      </c>
      <c r="D9" s="119" t="s">
        <v>193</v>
      </c>
      <c r="E9" s="120">
        <v>1</v>
      </c>
      <c r="F9" s="120">
        <f t="shared" si="1"/>
        <v>1</v>
      </c>
      <c r="G9" s="121">
        <v>500</v>
      </c>
      <c r="H9" s="121"/>
    </row>
    <row r="10" spans="1:8" ht="38.25" hidden="1" customHeight="1" x14ac:dyDescent="0.2">
      <c r="A10" s="191" t="s">
        <v>198</v>
      </c>
      <c r="B10" s="191" t="str">
        <f t="shared" si="0"/>
        <v>00.00.00</v>
      </c>
      <c r="C10" s="118" t="s">
        <v>199</v>
      </c>
      <c r="D10" s="119" t="s">
        <v>193</v>
      </c>
      <c r="E10" s="120">
        <v>1</v>
      </c>
      <c r="F10" s="120">
        <f t="shared" si="1"/>
        <v>1</v>
      </c>
      <c r="G10" s="121">
        <v>1500</v>
      </c>
      <c r="H10" s="121"/>
    </row>
    <row r="11" spans="1:8" ht="28.5" hidden="1" customHeight="1" x14ac:dyDescent="0.2">
      <c r="A11" s="191" t="s">
        <v>200</v>
      </c>
      <c r="B11" s="191" t="str">
        <f>B10</f>
        <v>00.00.00</v>
      </c>
      <c r="C11" s="118" t="s">
        <v>201</v>
      </c>
      <c r="D11" s="119" t="s">
        <v>193</v>
      </c>
      <c r="E11" s="120">
        <v>1</v>
      </c>
      <c r="F11" s="120">
        <f t="shared" si="1"/>
        <v>1</v>
      </c>
      <c r="G11" s="121">
        <v>1000</v>
      </c>
      <c r="H11" s="121"/>
    </row>
    <row r="12" spans="1:8" ht="54" hidden="1" customHeight="1" x14ac:dyDescent="0.2">
      <c r="A12" s="191" t="s">
        <v>202</v>
      </c>
      <c r="B12" s="191" t="str">
        <f>B11</f>
        <v>00.00.00</v>
      </c>
      <c r="C12" s="118" t="s">
        <v>203</v>
      </c>
      <c r="D12" s="119" t="s">
        <v>193</v>
      </c>
      <c r="E12" s="120">
        <v>1</v>
      </c>
      <c r="F12" s="120">
        <f t="shared" si="1"/>
        <v>1</v>
      </c>
      <c r="G12" s="121">
        <v>1500</v>
      </c>
      <c r="H12" s="121"/>
    </row>
    <row r="13" spans="1:8" ht="29.25" hidden="1" customHeight="1" x14ac:dyDescent="0.2">
      <c r="A13" s="191" t="s">
        <v>204</v>
      </c>
      <c r="B13" s="191" t="str">
        <f>B11</f>
        <v>00.00.00</v>
      </c>
      <c r="C13" s="122" t="s">
        <v>205</v>
      </c>
      <c r="D13" s="119" t="s">
        <v>193</v>
      </c>
      <c r="E13" s="120">
        <v>0</v>
      </c>
      <c r="F13" s="120">
        <f t="shared" si="1"/>
        <v>0</v>
      </c>
      <c r="G13" s="121"/>
      <c r="H13" s="121"/>
    </row>
    <row r="14" spans="1:8" ht="85.5" hidden="1" customHeight="1" x14ac:dyDescent="0.2">
      <c r="A14" s="191" t="s">
        <v>204</v>
      </c>
      <c r="B14" s="191" t="str">
        <f t="shared" si="0"/>
        <v>00.00.00</v>
      </c>
      <c r="C14" s="118" t="s">
        <v>206</v>
      </c>
      <c r="D14" s="119" t="s">
        <v>193</v>
      </c>
      <c r="E14" s="120">
        <v>1</v>
      </c>
      <c r="F14" s="120">
        <f t="shared" si="1"/>
        <v>1</v>
      </c>
      <c r="G14" s="121">
        <v>5000</v>
      </c>
      <c r="H14" s="121"/>
    </row>
    <row r="15" spans="1:8" ht="35.1" hidden="1" customHeight="1" x14ac:dyDescent="0.2">
      <c r="A15" s="358" t="s">
        <v>207</v>
      </c>
      <c r="B15" s="358"/>
      <c r="C15" s="358"/>
      <c r="D15" s="358"/>
      <c r="E15" s="358"/>
      <c r="F15" s="358"/>
      <c r="G15" s="358"/>
      <c r="H15" s="167"/>
    </row>
    <row r="16" spans="1:8" ht="30.75" customHeight="1" x14ac:dyDescent="0.2">
      <c r="A16" s="200" t="s">
        <v>1</v>
      </c>
      <c r="B16" s="357" t="s">
        <v>392</v>
      </c>
      <c r="C16" s="357"/>
      <c r="D16" s="357"/>
      <c r="E16" s="357"/>
      <c r="F16" s="357"/>
      <c r="G16" s="357"/>
      <c r="H16" s="357"/>
    </row>
    <row r="17" spans="1:8" s="124" customFormat="1" ht="38.25" customHeight="1" x14ac:dyDescent="0.2">
      <c r="A17" s="198" t="s">
        <v>12</v>
      </c>
      <c r="B17" s="174" t="s">
        <v>188</v>
      </c>
      <c r="C17" s="316" t="s">
        <v>9</v>
      </c>
      <c r="D17" s="316"/>
      <c r="E17" s="316"/>
      <c r="F17" s="316"/>
      <c r="G17" s="316"/>
      <c r="H17" s="316"/>
    </row>
    <row r="18" spans="1:8" s="124" customFormat="1" ht="27" customHeight="1" x14ac:dyDescent="0.2">
      <c r="A18" s="171" t="s">
        <v>2</v>
      </c>
      <c r="B18" s="171" t="s">
        <v>189</v>
      </c>
      <c r="C18" s="321" t="s">
        <v>190</v>
      </c>
      <c r="D18" s="321"/>
      <c r="E18" s="321"/>
      <c r="F18" s="321"/>
      <c r="G18" s="321"/>
      <c r="H18" s="321"/>
    </row>
    <row r="19" spans="1:8" s="124" customFormat="1" ht="27.75" customHeight="1" x14ac:dyDescent="0.2">
      <c r="A19" s="199" t="s">
        <v>191</v>
      </c>
      <c r="B19" s="277" t="str">
        <f>B18</f>
        <v>00.00.00</v>
      </c>
      <c r="C19" s="364" t="s">
        <v>332</v>
      </c>
      <c r="D19" s="364"/>
      <c r="E19" s="364"/>
      <c r="F19" s="364"/>
      <c r="G19" s="223" t="s">
        <v>193</v>
      </c>
      <c r="H19" s="120">
        <v>1</v>
      </c>
    </row>
    <row r="20" spans="1:8" s="124" customFormat="1" ht="45" customHeight="1" x14ac:dyDescent="0.2">
      <c r="A20" s="199" t="s">
        <v>194</v>
      </c>
      <c r="B20" s="277" t="str">
        <f>B19</f>
        <v>00.00.00</v>
      </c>
      <c r="C20" s="364" t="s">
        <v>333</v>
      </c>
      <c r="D20" s="364"/>
      <c r="E20" s="364"/>
      <c r="F20" s="364"/>
      <c r="G20" s="223" t="s">
        <v>193</v>
      </c>
      <c r="H20" s="120">
        <v>1</v>
      </c>
    </row>
    <row r="21" spans="1:8" s="124" customFormat="1" ht="62.25" customHeight="1" x14ac:dyDescent="0.2">
      <c r="A21" s="277" t="s">
        <v>196</v>
      </c>
      <c r="B21" s="277" t="s">
        <v>189</v>
      </c>
      <c r="C21" s="364" t="s">
        <v>380</v>
      </c>
      <c r="D21" s="364"/>
      <c r="E21" s="364"/>
      <c r="F21" s="364"/>
      <c r="G21" s="223" t="s">
        <v>193</v>
      </c>
      <c r="H21" s="120">
        <v>1</v>
      </c>
    </row>
    <row r="22" spans="1:8" ht="29.25" customHeight="1" x14ac:dyDescent="0.2">
      <c r="A22" s="200" t="s">
        <v>3</v>
      </c>
      <c r="B22" s="357" t="s">
        <v>389</v>
      </c>
      <c r="C22" s="357"/>
      <c r="D22" s="357"/>
      <c r="E22" s="357"/>
      <c r="F22" s="357"/>
      <c r="G22" s="357"/>
      <c r="H22" s="357"/>
    </row>
    <row r="23" spans="1:8" ht="30.75" customHeight="1" x14ac:dyDescent="0.2">
      <c r="A23" s="198" t="s">
        <v>13</v>
      </c>
      <c r="B23" s="198" t="s">
        <v>208</v>
      </c>
      <c r="C23" s="320" t="s">
        <v>209</v>
      </c>
      <c r="D23" s="320"/>
      <c r="E23" s="320"/>
      <c r="F23" s="320"/>
      <c r="G23" s="320"/>
      <c r="H23" s="320"/>
    </row>
    <row r="24" spans="1:8" ht="27" customHeight="1" x14ac:dyDescent="0.2">
      <c r="A24" s="171" t="s">
        <v>2</v>
      </c>
      <c r="B24" s="208" t="s">
        <v>289</v>
      </c>
      <c r="C24" s="321" t="s">
        <v>284</v>
      </c>
      <c r="D24" s="321"/>
      <c r="E24" s="321"/>
      <c r="F24" s="321"/>
      <c r="G24" s="321"/>
      <c r="H24" s="321"/>
    </row>
    <row r="25" spans="1:8" s="124" customFormat="1" ht="57" customHeight="1" x14ac:dyDescent="0.2">
      <c r="A25" s="191" t="s">
        <v>352</v>
      </c>
      <c r="B25" s="205" t="s">
        <v>377</v>
      </c>
      <c r="C25" s="356" t="s">
        <v>381</v>
      </c>
      <c r="D25" s="356"/>
      <c r="E25" s="356"/>
      <c r="F25" s="356"/>
      <c r="G25" s="125" t="s">
        <v>193</v>
      </c>
      <c r="H25" s="125">
        <v>1</v>
      </c>
    </row>
    <row r="26" spans="1:8" s="124" customFormat="1" ht="116.25" customHeight="1" x14ac:dyDescent="0.2">
      <c r="A26" s="191"/>
      <c r="B26" s="205"/>
      <c r="C26" s="352" t="s">
        <v>393</v>
      </c>
      <c r="D26" s="353"/>
      <c r="E26" s="353"/>
      <c r="F26" s="354"/>
      <c r="G26" s="119" t="s">
        <v>2</v>
      </c>
      <c r="H26" s="119" t="s">
        <v>2</v>
      </c>
    </row>
    <row r="27" spans="1:8" ht="30.75" customHeight="1" x14ac:dyDescent="0.2">
      <c r="A27" s="171" t="s">
        <v>2</v>
      </c>
      <c r="B27" s="208" t="s">
        <v>296</v>
      </c>
      <c r="C27" s="321" t="s">
        <v>334</v>
      </c>
      <c r="D27" s="321"/>
      <c r="E27" s="321"/>
      <c r="F27" s="321"/>
      <c r="G27" s="321"/>
      <c r="H27" s="321"/>
    </row>
    <row r="28" spans="1:8" ht="48.75" customHeight="1" x14ac:dyDescent="0.2">
      <c r="A28" s="191" t="s">
        <v>353</v>
      </c>
      <c r="B28" s="191" t="s">
        <v>356</v>
      </c>
      <c r="C28" s="326" t="s">
        <v>335</v>
      </c>
      <c r="D28" s="326"/>
      <c r="E28" s="326"/>
      <c r="F28" s="326"/>
      <c r="G28" s="127" t="s">
        <v>210</v>
      </c>
      <c r="H28" s="125">
        <f>197*1.35+197*1.8+2*2*5.2</f>
        <v>641.35</v>
      </c>
    </row>
    <row r="29" spans="1:8" ht="62.25" customHeight="1" x14ac:dyDescent="0.2">
      <c r="A29" s="212"/>
      <c r="B29" s="209"/>
      <c r="C29" s="345" t="s">
        <v>413</v>
      </c>
      <c r="D29" s="346"/>
      <c r="E29" s="346"/>
      <c r="F29" s="347"/>
      <c r="G29" s="119" t="s">
        <v>2</v>
      </c>
      <c r="H29" s="119" t="s">
        <v>2</v>
      </c>
    </row>
    <row r="30" spans="1:8" ht="38.25" customHeight="1" x14ac:dyDescent="0.2">
      <c r="A30" s="171" t="s">
        <v>2</v>
      </c>
      <c r="B30" s="171" t="s">
        <v>212</v>
      </c>
      <c r="C30" s="355" t="s">
        <v>336</v>
      </c>
      <c r="D30" s="355"/>
      <c r="E30" s="355"/>
      <c r="F30" s="355"/>
      <c r="G30" s="355"/>
      <c r="H30" s="355"/>
    </row>
    <row r="31" spans="1:8" ht="36" customHeight="1" x14ac:dyDescent="0.2">
      <c r="A31" s="191" t="s">
        <v>354</v>
      </c>
      <c r="B31" s="191" t="s">
        <v>337</v>
      </c>
      <c r="C31" s="326" t="s">
        <v>394</v>
      </c>
      <c r="D31" s="326"/>
      <c r="E31" s="326"/>
      <c r="F31" s="326"/>
      <c r="G31" s="127" t="s">
        <v>210</v>
      </c>
      <c r="H31" s="128">
        <f>197*3.5</f>
        <v>689.5</v>
      </c>
    </row>
    <row r="32" spans="1:8" ht="63.75" customHeight="1" x14ac:dyDescent="0.2">
      <c r="A32" s="191"/>
      <c r="B32" s="191"/>
      <c r="C32" s="339" t="s">
        <v>436</v>
      </c>
      <c r="D32" s="340"/>
      <c r="E32" s="340"/>
      <c r="F32" s="341"/>
      <c r="G32" s="119" t="s">
        <v>2</v>
      </c>
      <c r="H32" s="119" t="s">
        <v>2</v>
      </c>
    </row>
    <row r="33" spans="1:136" ht="36" customHeight="1" x14ac:dyDescent="0.2">
      <c r="A33" s="191" t="s">
        <v>355</v>
      </c>
      <c r="B33" s="191" t="s">
        <v>338</v>
      </c>
      <c r="C33" s="326" t="s">
        <v>339</v>
      </c>
      <c r="D33" s="326"/>
      <c r="E33" s="326"/>
      <c r="F33" s="326"/>
      <c r="G33" s="127" t="s">
        <v>210</v>
      </c>
      <c r="H33" s="128">
        <v>45</v>
      </c>
    </row>
    <row r="34" spans="1:136" ht="47.25" customHeight="1" x14ac:dyDescent="0.2">
      <c r="A34" s="191"/>
      <c r="B34" s="205"/>
      <c r="C34" s="344" t="s">
        <v>431</v>
      </c>
      <c r="D34" s="344"/>
      <c r="E34" s="344"/>
      <c r="F34" s="344"/>
      <c r="G34" s="119" t="s">
        <v>2</v>
      </c>
      <c r="H34" s="119" t="s">
        <v>2</v>
      </c>
    </row>
    <row r="35" spans="1:136" ht="36" customHeight="1" x14ac:dyDescent="0.2">
      <c r="A35" s="191" t="s">
        <v>357</v>
      </c>
      <c r="B35" s="191" t="s">
        <v>341</v>
      </c>
      <c r="C35" s="326" t="s">
        <v>382</v>
      </c>
      <c r="D35" s="326"/>
      <c r="E35" s="326"/>
      <c r="F35" s="326"/>
      <c r="G35" s="127" t="s">
        <v>210</v>
      </c>
      <c r="H35" s="128">
        <v>20</v>
      </c>
    </row>
    <row r="36" spans="1:136" ht="36" hidden="1" customHeight="1" x14ac:dyDescent="0.2">
      <c r="A36" s="350"/>
      <c r="B36" s="351"/>
      <c r="C36" s="326" t="s">
        <v>342</v>
      </c>
      <c r="D36" s="326"/>
      <c r="E36" s="326"/>
      <c r="F36" s="326"/>
      <c r="G36" s="127"/>
      <c r="H36" s="128"/>
    </row>
    <row r="37" spans="1:136" ht="36" hidden="1" customHeight="1" x14ac:dyDescent="0.2">
      <c r="A37" s="350"/>
      <c r="B37" s="351"/>
      <c r="C37" s="185" t="s">
        <v>306</v>
      </c>
      <c r="D37" s="186">
        <f>H36</f>
        <v>0</v>
      </c>
      <c r="E37" s="180" t="s">
        <v>279</v>
      </c>
      <c r="F37" s="186" t="s">
        <v>340</v>
      </c>
      <c r="G37" s="127"/>
      <c r="H37" s="128"/>
    </row>
    <row r="38" spans="1:136" ht="36" hidden="1" customHeight="1" x14ac:dyDescent="0.2">
      <c r="A38" s="350"/>
      <c r="B38" s="351"/>
      <c r="C38" s="326" t="s">
        <v>343</v>
      </c>
      <c r="D38" s="326"/>
      <c r="E38" s="326"/>
      <c r="F38" s="326"/>
      <c r="G38" s="127"/>
      <c r="H38" s="128"/>
    </row>
    <row r="39" spans="1:136" ht="36" hidden="1" customHeight="1" x14ac:dyDescent="0.2">
      <c r="A39" s="350"/>
      <c r="B39" s="351"/>
      <c r="C39" s="185" t="s">
        <v>306</v>
      </c>
      <c r="D39" s="186">
        <f>H38</f>
        <v>0</v>
      </c>
      <c r="E39" s="180" t="s">
        <v>279</v>
      </c>
      <c r="F39" s="186" t="s">
        <v>340</v>
      </c>
      <c r="G39" s="127"/>
      <c r="H39" s="128"/>
    </row>
    <row r="40" spans="1:136" ht="53.25" customHeight="1" x14ac:dyDescent="0.2">
      <c r="A40" s="191"/>
      <c r="B40" s="205"/>
      <c r="C40" s="344" t="s">
        <v>432</v>
      </c>
      <c r="D40" s="344"/>
      <c r="E40" s="344"/>
      <c r="F40" s="344"/>
      <c r="G40" s="119" t="s">
        <v>2</v>
      </c>
      <c r="H40" s="119" t="s">
        <v>2</v>
      </c>
    </row>
    <row r="41" spans="1:136" s="47" customFormat="1" ht="25.5" customHeight="1" x14ac:dyDescent="0.2">
      <c r="A41" s="191" t="s">
        <v>358</v>
      </c>
      <c r="B41" s="205" t="s">
        <v>344</v>
      </c>
      <c r="C41" s="326" t="s">
        <v>396</v>
      </c>
      <c r="D41" s="326"/>
      <c r="E41" s="326"/>
      <c r="F41" s="326"/>
      <c r="G41" s="127" t="s">
        <v>217</v>
      </c>
      <c r="H41" s="128">
        <v>6</v>
      </c>
    </row>
    <row r="42" spans="1:136" s="47" customFormat="1" ht="50.25" customHeight="1" x14ac:dyDescent="0.2">
      <c r="A42" s="212"/>
      <c r="B42" s="211"/>
      <c r="C42" s="344" t="s">
        <v>397</v>
      </c>
      <c r="D42" s="326"/>
      <c r="E42" s="326"/>
      <c r="F42" s="326"/>
      <c r="G42" s="119" t="s">
        <v>2</v>
      </c>
      <c r="H42" s="119" t="s">
        <v>2</v>
      </c>
    </row>
    <row r="43" spans="1:136" s="136" customFormat="1" ht="27" customHeight="1" x14ac:dyDescent="0.2">
      <c r="A43" s="198" t="s">
        <v>14</v>
      </c>
      <c r="B43" s="198" t="s">
        <v>220</v>
      </c>
      <c r="C43" s="320" t="s">
        <v>221</v>
      </c>
      <c r="D43" s="320"/>
      <c r="E43" s="320"/>
      <c r="F43" s="320"/>
      <c r="G43" s="320"/>
      <c r="H43" s="320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135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35"/>
      <c r="BB43" s="135"/>
      <c r="BC43" s="135"/>
      <c r="BD43" s="135"/>
      <c r="BE43" s="135"/>
      <c r="BF43" s="135"/>
      <c r="BG43" s="135"/>
      <c r="BH43" s="135"/>
      <c r="BI43" s="135"/>
      <c r="BJ43" s="135"/>
      <c r="BK43" s="135"/>
      <c r="BL43" s="135"/>
      <c r="BM43" s="135"/>
      <c r="BN43" s="135"/>
      <c r="BO43" s="135"/>
      <c r="BP43" s="135"/>
      <c r="BQ43" s="135"/>
      <c r="BR43" s="135"/>
      <c r="BS43" s="135"/>
      <c r="BT43" s="135"/>
      <c r="BU43" s="135"/>
      <c r="BV43" s="135"/>
      <c r="BW43" s="135"/>
      <c r="BX43" s="135"/>
      <c r="BY43" s="135"/>
      <c r="BZ43" s="135"/>
      <c r="CA43" s="135"/>
      <c r="CB43" s="135"/>
      <c r="CC43" s="135"/>
      <c r="CD43" s="135"/>
      <c r="CE43" s="135"/>
      <c r="CF43" s="135"/>
      <c r="CG43" s="135"/>
      <c r="CH43" s="135"/>
      <c r="CI43" s="135"/>
      <c r="CJ43" s="135"/>
      <c r="CK43" s="135"/>
      <c r="CL43" s="135"/>
      <c r="CM43" s="135"/>
      <c r="CN43" s="135"/>
      <c r="CO43" s="135"/>
      <c r="CP43" s="135"/>
      <c r="CQ43" s="135"/>
      <c r="CR43" s="135"/>
      <c r="CS43" s="135"/>
      <c r="CT43" s="135"/>
      <c r="CU43" s="135"/>
      <c r="CV43" s="135"/>
      <c r="CW43" s="135"/>
      <c r="CX43" s="135"/>
      <c r="CY43" s="135"/>
      <c r="CZ43" s="135"/>
      <c r="DA43" s="135"/>
      <c r="DB43" s="135"/>
      <c r="DC43" s="135"/>
      <c r="DD43" s="135"/>
      <c r="DE43" s="135"/>
      <c r="DF43" s="135"/>
      <c r="DG43" s="135"/>
      <c r="DH43" s="135"/>
      <c r="DI43" s="135"/>
      <c r="DJ43" s="135"/>
      <c r="DK43" s="135"/>
      <c r="DL43" s="135"/>
      <c r="DM43" s="135"/>
      <c r="DN43" s="135"/>
      <c r="DO43" s="135"/>
      <c r="DP43" s="135"/>
      <c r="DQ43" s="135"/>
      <c r="DR43" s="135"/>
      <c r="DS43" s="135"/>
      <c r="DT43" s="135"/>
      <c r="DU43" s="135"/>
      <c r="DV43" s="135"/>
      <c r="DW43" s="135"/>
      <c r="DX43" s="135"/>
      <c r="DY43" s="135"/>
      <c r="DZ43" s="135"/>
      <c r="EA43" s="135"/>
      <c r="EB43" s="135"/>
      <c r="EC43" s="135"/>
      <c r="ED43" s="135"/>
      <c r="EE43" s="135"/>
      <c r="EF43" s="135"/>
    </row>
    <row r="44" spans="1:136" s="136" customFormat="1" ht="20.25" customHeight="1" x14ac:dyDescent="0.2">
      <c r="A44" s="171" t="s">
        <v>2</v>
      </c>
      <c r="B44" s="171" t="s">
        <v>297</v>
      </c>
      <c r="C44" s="321" t="s">
        <v>285</v>
      </c>
      <c r="D44" s="321"/>
      <c r="E44" s="321"/>
      <c r="F44" s="321"/>
      <c r="G44" s="321"/>
      <c r="H44" s="321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  <c r="AV44" s="135"/>
      <c r="AW44" s="135"/>
      <c r="AX44" s="135"/>
      <c r="AY44" s="135"/>
      <c r="AZ44" s="135"/>
      <c r="BA44" s="135"/>
      <c r="BB44" s="135"/>
      <c r="BC44" s="135"/>
      <c r="BD44" s="135"/>
      <c r="BE44" s="135"/>
      <c r="BF44" s="135"/>
      <c r="BG44" s="135"/>
      <c r="BH44" s="135"/>
      <c r="BI44" s="135"/>
      <c r="BJ44" s="135"/>
      <c r="BK44" s="135"/>
      <c r="BL44" s="135"/>
      <c r="BM44" s="135"/>
      <c r="BN44" s="135"/>
      <c r="BO44" s="135"/>
      <c r="BP44" s="135"/>
      <c r="BQ44" s="135"/>
      <c r="BR44" s="135"/>
      <c r="BS44" s="135"/>
      <c r="BT44" s="135"/>
      <c r="BU44" s="135"/>
      <c r="BV44" s="135"/>
      <c r="BW44" s="135"/>
      <c r="BX44" s="135"/>
      <c r="BY44" s="135"/>
      <c r="BZ44" s="135"/>
      <c r="CA44" s="135"/>
      <c r="CB44" s="135"/>
      <c r="CC44" s="135"/>
      <c r="CD44" s="135"/>
      <c r="CE44" s="135"/>
      <c r="CF44" s="135"/>
      <c r="CG44" s="135"/>
      <c r="CH44" s="135"/>
      <c r="CI44" s="135"/>
      <c r="CJ44" s="135"/>
      <c r="CK44" s="135"/>
      <c r="CL44" s="135"/>
      <c r="CM44" s="135"/>
      <c r="CN44" s="135"/>
      <c r="CO44" s="135"/>
      <c r="CP44" s="135"/>
      <c r="CQ44" s="135"/>
      <c r="CR44" s="135"/>
      <c r="CS44" s="135"/>
      <c r="CT44" s="135"/>
      <c r="CU44" s="135"/>
      <c r="CV44" s="135"/>
      <c r="CW44" s="135"/>
      <c r="CX44" s="135"/>
      <c r="CY44" s="135"/>
      <c r="CZ44" s="135"/>
      <c r="DA44" s="135"/>
      <c r="DB44" s="135"/>
      <c r="DC44" s="135"/>
      <c r="DD44" s="135"/>
      <c r="DE44" s="135"/>
      <c r="DF44" s="135"/>
      <c r="DG44" s="135"/>
      <c r="DH44" s="135"/>
      <c r="DI44" s="135"/>
      <c r="DJ44" s="135"/>
      <c r="DK44" s="135"/>
      <c r="DL44" s="135"/>
      <c r="DM44" s="135"/>
      <c r="DN44" s="135"/>
      <c r="DO44" s="135"/>
      <c r="DP44" s="135"/>
      <c r="DQ44" s="135"/>
      <c r="DR44" s="135"/>
      <c r="DS44" s="135"/>
      <c r="DT44" s="135"/>
      <c r="DU44" s="135"/>
      <c r="DV44" s="135"/>
      <c r="DW44" s="135"/>
      <c r="DX44" s="135"/>
      <c r="DY44" s="135"/>
      <c r="DZ44" s="135"/>
      <c r="EA44" s="135"/>
      <c r="EB44" s="135"/>
      <c r="EC44" s="135"/>
      <c r="ED44" s="135"/>
      <c r="EE44" s="135"/>
      <c r="EF44" s="135"/>
    </row>
    <row r="45" spans="1:136" s="136" customFormat="1" ht="27.75" customHeight="1" x14ac:dyDescent="0.2">
      <c r="A45" s="191" t="s">
        <v>359</v>
      </c>
      <c r="B45" s="191" t="s">
        <v>222</v>
      </c>
      <c r="C45" s="348" t="s">
        <v>383</v>
      </c>
      <c r="D45" s="348"/>
      <c r="E45" s="348"/>
      <c r="F45" s="348"/>
      <c r="G45" s="127" t="s">
        <v>219</v>
      </c>
      <c r="H45" s="128">
        <f>9*3*2+2*2.5</f>
        <v>59</v>
      </c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135"/>
      <c r="BB45" s="135"/>
      <c r="BC45" s="135"/>
      <c r="BD45" s="135"/>
      <c r="BE45" s="135"/>
      <c r="BF45" s="135"/>
      <c r="BG45" s="135"/>
      <c r="BH45" s="135"/>
      <c r="BI45" s="135"/>
      <c r="BJ45" s="135"/>
      <c r="BK45" s="135"/>
      <c r="BL45" s="135"/>
      <c r="BM45" s="135"/>
      <c r="BN45" s="135"/>
      <c r="BO45" s="135"/>
      <c r="BP45" s="135"/>
      <c r="BQ45" s="135"/>
      <c r="BR45" s="135"/>
      <c r="BS45" s="135"/>
      <c r="BT45" s="135"/>
      <c r="BU45" s="135"/>
      <c r="BV45" s="135"/>
      <c r="BW45" s="135"/>
      <c r="BX45" s="135"/>
      <c r="BY45" s="135"/>
      <c r="BZ45" s="135"/>
      <c r="CA45" s="135"/>
      <c r="CB45" s="135"/>
      <c r="CC45" s="135"/>
      <c r="CD45" s="135"/>
      <c r="CE45" s="135"/>
      <c r="CF45" s="135"/>
      <c r="CG45" s="135"/>
      <c r="CH45" s="135"/>
      <c r="CI45" s="135"/>
      <c r="CJ45" s="135"/>
      <c r="CK45" s="135"/>
      <c r="CL45" s="135"/>
      <c r="CM45" s="135"/>
      <c r="CN45" s="135"/>
      <c r="CO45" s="135"/>
      <c r="CP45" s="135"/>
      <c r="CQ45" s="135"/>
      <c r="CR45" s="135"/>
      <c r="CS45" s="135"/>
      <c r="CT45" s="135"/>
      <c r="CU45" s="135"/>
      <c r="CV45" s="135"/>
      <c r="CW45" s="135"/>
      <c r="CX45" s="135"/>
      <c r="CY45" s="135"/>
      <c r="CZ45" s="135"/>
      <c r="DA45" s="135"/>
      <c r="DB45" s="135"/>
      <c r="DC45" s="135"/>
      <c r="DD45" s="135"/>
      <c r="DE45" s="135"/>
      <c r="DF45" s="135"/>
      <c r="DG45" s="135"/>
      <c r="DH45" s="135"/>
      <c r="DI45" s="135"/>
      <c r="DJ45" s="135"/>
      <c r="DK45" s="135"/>
      <c r="DL45" s="135"/>
      <c r="DM45" s="135"/>
      <c r="DN45" s="135"/>
      <c r="DO45" s="135"/>
      <c r="DP45" s="135"/>
      <c r="DQ45" s="135"/>
      <c r="DR45" s="135"/>
      <c r="DS45" s="135"/>
      <c r="DT45" s="135"/>
      <c r="DU45" s="135"/>
      <c r="DV45" s="135"/>
      <c r="DW45" s="135"/>
      <c r="DX45" s="135"/>
      <c r="DY45" s="135"/>
      <c r="DZ45" s="135"/>
      <c r="EA45" s="135"/>
      <c r="EB45" s="135"/>
      <c r="EC45" s="135"/>
      <c r="ED45" s="135"/>
      <c r="EE45" s="135"/>
      <c r="EF45" s="135"/>
    </row>
    <row r="46" spans="1:136" s="136" customFormat="1" ht="57.75" customHeight="1" x14ac:dyDescent="0.2">
      <c r="A46" s="212"/>
      <c r="B46" s="211"/>
      <c r="C46" s="345" t="s">
        <v>401</v>
      </c>
      <c r="D46" s="346"/>
      <c r="E46" s="346"/>
      <c r="F46" s="347"/>
      <c r="G46" s="128" t="s">
        <v>2</v>
      </c>
      <c r="H46" s="128" t="s">
        <v>2</v>
      </c>
      <c r="I46" s="139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  <c r="BG46" s="135"/>
      <c r="BH46" s="135"/>
      <c r="BI46" s="135"/>
      <c r="BJ46" s="135"/>
      <c r="BK46" s="135"/>
      <c r="BL46" s="135"/>
      <c r="BM46" s="135"/>
      <c r="BN46" s="135"/>
      <c r="BO46" s="135"/>
      <c r="BP46" s="135"/>
      <c r="BQ46" s="135"/>
      <c r="BR46" s="135"/>
      <c r="BS46" s="135"/>
      <c r="BT46" s="135"/>
      <c r="BU46" s="135"/>
      <c r="BV46" s="135"/>
      <c r="BW46" s="135"/>
      <c r="BX46" s="135"/>
      <c r="BY46" s="135"/>
      <c r="BZ46" s="135"/>
      <c r="CA46" s="135"/>
      <c r="CB46" s="135"/>
      <c r="CC46" s="135"/>
      <c r="CD46" s="135"/>
      <c r="CE46" s="135"/>
      <c r="CF46" s="135"/>
      <c r="CG46" s="135"/>
      <c r="CH46" s="135"/>
      <c r="CI46" s="135"/>
      <c r="CJ46" s="135"/>
      <c r="CK46" s="135"/>
      <c r="CL46" s="135"/>
      <c r="CM46" s="135"/>
      <c r="CN46" s="135"/>
      <c r="CO46" s="135"/>
      <c r="CP46" s="135"/>
      <c r="CQ46" s="135"/>
      <c r="CR46" s="135"/>
      <c r="CS46" s="135"/>
      <c r="CT46" s="135"/>
      <c r="CU46" s="135"/>
      <c r="CV46" s="135"/>
      <c r="CW46" s="135"/>
      <c r="CX46" s="135"/>
      <c r="CY46" s="135"/>
      <c r="CZ46" s="135"/>
      <c r="DA46" s="135"/>
      <c r="DB46" s="135"/>
      <c r="DC46" s="135"/>
      <c r="DD46" s="135"/>
      <c r="DE46" s="135"/>
      <c r="DF46" s="135"/>
      <c r="DG46" s="135"/>
      <c r="DH46" s="135"/>
      <c r="DI46" s="135"/>
      <c r="DJ46" s="135"/>
      <c r="DK46" s="135"/>
      <c r="DL46" s="135"/>
      <c r="DM46" s="135"/>
      <c r="DN46" s="135"/>
      <c r="DO46" s="135"/>
      <c r="DP46" s="135"/>
      <c r="DQ46" s="135"/>
      <c r="DR46" s="135"/>
      <c r="DS46" s="135"/>
      <c r="DT46" s="135"/>
      <c r="DU46" s="135"/>
      <c r="DV46" s="135"/>
      <c r="DW46" s="135"/>
      <c r="DX46" s="135"/>
      <c r="DY46" s="135"/>
      <c r="DZ46" s="135"/>
      <c r="EA46" s="135"/>
      <c r="EB46" s="135"/>
      <c r="EC46" s="135"/>
      <c r="ED46" s="135"/>
      <c r="EE46" s="135"/>
      <c r="EF46" s="135"/>
    </row>
    <row r="47" spans="1:136" s="136" customFormat="1" ht="33" customHeight="1" x14ac:dyDescent="0.2">
      <c r="A47" s="191" t="s">
        <v>331</v>
      </c>
      <c r="B47" s="191" t="s">
        <v>387</v>
      </c>
      <c r="C47" s="349" t="s">
        <v>351</v>
      </c>
      <c r="D47" s="349"/>
      <c r="E47" s="349"/>
      <c r="F47" s="349"/>
      <c r="G47" s="127" t="s">
        <v>219</v>
      </c>
      <c r="H47" s="128">
        <f>197*1.6+2*5*1.5</f>
        <v>330.2</v>
      </c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135"/>
      <c r="BB47" s="135"/>
      <c r="BC47" s="135"/>
      <c r="BD47" s="135"/>
      <c r="BE47" s="135"/>
      <c r="BF47" s="135"/>
      <c r="BG47" s="135"/>
      <c r="BH47" s="135"/>
      <c r="BI47" s="135"/>
      <c r="BJ47" s="135"/>
      <c r="BK47" s="135"/>
      <c r="BL47" s="135"/>
      <c r="BM47" s="135"/>
      <c r="BN47" s="135"/>
      <c r="BO47" s="135"/>
      <c r="BP47" s="135"/>
      <c r="BQ47" s="135"/>
      <c r="BR47" s="135"/>
      <c r="BS47" s="135"/>
      <c r="BT47" s="135"/>
      <c r="BU47" s="135"/>
      <c r="BV47" s="135"/>
      <c r="BW47" s="135"/>
      <c r="BX47" s="135"/>
      <c r="BY47" s="135"/>
      <c r="BZ47" s="135"/>
      <c r="CA47" s="135"/>
      <c r="CB47" s="135"/>
      <c r="CC47" s="135"/>
      <c r="CD47" s="135"/>
      <c r="CE47" s="135"/>
      <c r="CF47" s="135"/>
      <c r="CG47" s="135"/>
      <c r="CH47" s="135"/>
      <c r="CI47" s="135"/>
      <c r="CJ47" s="135"/>
      <c r="CK47" s="135"/>
      <c r="CL47" s="135"/>
      <c r="CM47" s="135"/>
      <c r="CN47" s="135"/>
      <c r="CO47" s="135"/>
      <c r="CP47" s="135"/>
      <c r="CQ47" s="135"/>
      <c r="CR47" s="135"/>
      <c r="CS47" s="135"/>
      <c r="CT47" s="135"/>
      <c r="CU47" s="135"/>
      <c r="CV47" s="135"/>
      <c r="CW47" s="135"/>
      <c r="CX47" s="135"/>
      <c r="CY47" s="135"/>
      <c r="CZ47" s="135"/>
      <c r="DA47" s="135"/>
      <c r="DB47" s="135"/>
      <c r="DC47" s="135"/>
      <c r="DD47" s="135"/>
      <c r="DE47" s="135"/>
      <c r="DF47" s="135"/>
      <c r="DG47" s="135"/>
      <c r="DH47" s="135"/>
      <c r="DI47" s="135"/>
      <c r="DJ47" s="135"/>
      <c r="DK47" s="135"/>
      <c r="DL47" s="135"/>
      <c r="DM47" s="135"/>
      <c r="DN47" s="135"/>
      <c r="DO47" s="135"/>
      <c r="DP47" s="135"/>
      <c r="DQ47" s="135"/>
      <c r="DR47" s="135"/>
      <c r="DS47" s="135"/>
      <c r="DT47" s="135"/>
      <c r="DU47" s="135"/>
      <c r="DV47" s="135"/>
      <c r="DW47" s="135"/>
      <c r="DX47" s="135"/>
      <c r="DY47" s="135"/>
      <c r="DZ47" s="135"/>
      <c r="EA47" s="135"/>
      <c r="EB47" s="135"/>
      <c r="EC47" s="135"/>
      <c r="ED47" s="135"/>
      <c r="EE47" s="135"/>
      <c r="EF47" s="135"/>
    </row>
    <row r="48" spans="1:136" s="129" customFormat="1" ht="53.25" customHeight="1" x14ac:dyDescent="0.2">
      <c r="A48" s="227"/>
      <c r="B48" s="211"/>
      <c r="C48" s="345" t="s">
        <v>398</v>
      </c>
      <c r="D48" s="346"/>
      <c r="E48" s="346"/>
      <c r="F48" s="347"/>
      <c r="G48" s="131" t="s">
        <v>2</v>
      </c>
      <c r="H48" s="131" t="s">
        <v>2</v>
      </c>
    </row>
    <row r="49" spans="1:8" s="129" customFormat="1" ht="36" hidden="1" customHeight="1" x14ac:dyDescent="0.2">
      <c r="A49" s="317" t="s">
        <v>234</v>
      </c>
      <c r="B49" s="317"/>
      <c r="C49" s="317"/>
      <c r="D49" s="317"/>
      <c r="E49" s="317"/>
      <c r="F49" s="317"/>
      <c r="G49" s="317"/>
      <c r="H49" s="317"/>
    </row>
    <row r="50" spans="1:8" s="143" customFormat="1" ht="32.25" customHeight="1" x14ac:dyDescent="0.2">
      <c r="A50" s="198" t="s">
        <v>10</v>
      </c>
      <c r="B50" s="198" t="s">
        <v>224</v>
      </c>
      <c r="C50" s="320" t="s">
        <v>225</v>
      </c>
      <c r="D50" s="320"/>
      <c r="E50" s="320"/>
      <c r="F50" s="320"/>
      <c r="G50" s="320"/>
      <c r="H50" s="320"/>
    </row>
    <row r="51" spans="1:8" s="143" customFormat="1" ht="17.25" hidden="1" customHeight="1" x14ac:dyDescent="0.2">
      <c r="A51" s="210" t="s">
        <v>2</v>
      </c>
      <c r="B51" s="210" t="s">
        <v>226</v>
      </c>
      <c r="C51" s="335" t="s">
        <v>227</v>
      </c>
      <c r="D51" s="335"/>
      <c r="E51" s="335"/>
      <c r="F51" s="335"/>
      <c r="G51" s="133"/>
      <c r="H51" s="133"/>
    </row>
    <row r="52" spans="1:8" s="143" customFormat="1" ht="19.5" hidden="1" customHeight="1" x14ac:dyDescent="0.2">
      <c r="A52" s="227">
        <v>30</v>
      </c>
      <c r="B52" s="212" t="s">
        <v>228</v>
      </c>
      <c r="C52" s="144" t="s">
        <v>229</v>
      </c>
      <c r="D52" s="145" t="s">
        <v>230</v>
      </c>
      <c r="E52" s="146"/>
      <c r="F52" s="146"/>
      <c r="G52" s="133"/>
      <c r="H52" s="133"/>
    </row>
    <row r="53" spans="1:8" s="143" customFormat="1" ht="161.25" hidden="1" customHeight="1" x14ac:dyDescent="0.2">
      <c r="A53" s="227"/>
      <c r="B53" s="211"/>
      <c r="C53" s="142" t="s">
        <v>231</v>
      </c>
      <c r="D53" s="137" t="s">
        <v>214</v>
      </c>
      <c r="E53" s="138"/>
      <c r="F53" s="138"/>
      <c r="G53" s="133"/>
      <c r="H53" s="133"/>
    </row>
    <row r="54" spans="1:8" s="143" customFormat="1" ht="33" customHeight="1" x14ac:dyDescent="0.2">
      <c r="A54" s="171" t="s">
        <v>2</v>
      </c>
      <c r="B54" s="208" t="s">
        <v>226</v>
      </c>
      <c r="C54" s="321" t="s">
        <v>232</v>
      </c>
      <c r="D54" s="321"/>
      <c r="E54" s="321"/>
      <c r="F54" s="321"/>
      <c r="G54" s="321"/>
      <c r="H54" s="321"/>
    </row>
    <row r="55" spans="1:8" s="190" customFormat="1" ht="27" customHeight="1" x14ac:dyDescent="0.2">
      <c r="A55" s="191" t="s">
        <v>360</v>
      </c>
      <c r="B55" s="205" t="s">
        <v>330</v>
      </c>
      <c r="C55" s="326" t="s">
        <v>399</v>
      </c>
      <c r="D55" s="326"/>
      <c r="E55" s="326"/>
      <c r="F55" s="326"/>
      <c r="G55" s="178" t="s">
        <v>217</v>
      </c>
      <c r="H55" s="179">
        <v>6</v>
      </c>
    </row>
    <row r="56" spans="1:8" s="190" customFormat="1" ht="49.5" customHeight="1" x14ac:dyDescent="0.2">
      <c r="A56" s="193"/>
      <c r="B56" s="193"/>
      <c r="C56" s="344" t="s">
        <v>426</v>
      </c>
      <c r="D56" s="344"/>
      <c r="E56" s="344"/>
      <c r="F56" s="344"/>
      <c r="G56" s="131" t="s">
        <v>2</v>
      </c>
      <c r="H56" s="131" t="s">
        <v>2</v>
      </c>
    </row>
    <row r="57" spans="1:8" s="190" customFormat="1" ht="30" hidden="1" customHeight="1" x14ac:dyDescent="0.2">
      <c r="A57" s="188"/>
      <c r="B57" s="237"/>
      <c r="C57" s="180"/>
      <c r="D57" s="180"/>
      <c r="E57" s="180"/>
      <c r="F57" s="180"/>
      <c r="G57" s="178"/>
      <c r="H57" s="179"/>
    </row>
    <row r="58" spans="1:8" s="143" customFormat="1" ht="63.75" hidden="1" x14ac:dyDescent="0.2">
      <c r="A58" s="227"/>
      <c r="B58" s="211"/>
      <c r="C58" s="142" t="s">
        <v>233</v>
      </c>
      <c r="D58" s="130" t="s">
        <v>217</v>
      </c>
      <c r="E58" s="131">
        <v>4.5</v>
      </c>
      <c r="F58" s="131" t="s">
        <v>2</v>
      </c>
      <c r="G58" s="133"/>
      <c r="H58" s="133"/>
    </row>
    <row r="59" spans="1:8" s="143" customFormat="1" ht="26.25" hidden="1" customHeight="1" x14ac:dyDescent="0.2">
      <c r="A59" s="194" t="s">
        <v>291</v>
      </c>
      <c r="B59" s="191"/>
      <c r="C59" s="116" t="s">
        <v>286</v>
      </c>
      <c r="D59" s="127" t="s">
        <v>218</v>
      </c>
      <c r="E59" s="131"/>
      <c r="F59" s="128">
        <v>0</v>
      </c>
      <c r="G59" s="132">
        <v>12500</v>
      </c>
      <c r="H59" s="132"/>
    </row>
    <row r="60" spans="1:8" s="143" customFormat="1" ht="22.5" hidden="1" customHeight="1" x14ac:dyDescent="0.2">
      <c r="A60" s="317" t="s">
        <v>237</v>
      </c>
      <c r="B60" s="317"/>
      <c r="C60" s="317"/>
      <c r="D60" s="317"/>
      <c r="E60" s="317"/>
      <c r="F60" s="317"/>
      <c r="G60" s="317"/>
      <c r="H60" s="317"/>
    </row>
    <row r="61" spans="1:8" s="143" customFormat="1" ht="27" customHeight="1" x14ac:dyDescent="0.2">
      <c r="A61" s="198" t="s">
        <v>11</v>
      </c>
      <c r="B61" s="198" t="s">
        <v>235</v>
      </c>
      <c r="C61" s="320" t="s">
        <v>301</v>
      </c>
      <c r="D61" s="320"/>
      <c r="E61" s="320"/>
      <c r="F61" s="320"/>
      <c r="G61" s="320"/>
      <c r="H61" s="320"/>
    </row>
    <row r="62" spans="1:8" s="143" customFormat="1" ht="19.5" customHeight="1" x14ac:dyDescent="0.2">
      <c r="A62" s="171" t="s">
        <v>2</v>
      </c>
      <c r="B62" s="171" t="s">
        <v>298</v>
      </c>
      <c r="C62" s="321" t="s">
        <v>236</v>
      </c>
      <c r="D62" s="321"/>
      <c r="E62" s="321"/>
      <c r="F62" s="321"/>
      <c r="G62" s="321"/>
      <c r="H62" s="321"/>
    </row>
    <row r="63" spans="1:8" s="124" customFormat="1" ht="41.25" customHeight="1" x14ac:dyDescent="0.2">
      <c r="A63" s="197" t="s">
        <v>361</v>
      </c>
      <c r="B63" s="197"/>
      <c r="C63" s="322" t="s">
        <v>300</v>
      </c>
      <c r="D63" s="322"/>
      <c r="E63" s="322"/>
      <c r="F63" s="322"/>
      <c r="G63" s="140" t="s">
        <v>210</v>
      </c>
      <c r="H63" s="141">
        <f>3*197</f>
        <v>591</v>
      </c>
    </row>
    <row r="64" spans="1:8" s="124" customFormat="1" ht="48" customHeight="1" x14ac:dyDescent="0.2">
      <c r="A64" s="214"/>
      <c r="B64" s="213"/>
      <c r="C64" s="332" t="s">
        <v>404</v>
      </c>
      <c r="D64" s="333"/>
      <c r="E64" s="333"/>
      <c r="F64" s="334"/>
      <c r="G64" s="121" t="s">
        <v>2</v>
      </c>
      <c r="H64" s="121" t="s">
        <v>2</v>
      </c>
    </row>
    <row r="65" spans="1:8" s="139" customFormat="1" ht="26.25" customHeight="1" x14ac:dyDescent="0.2">
      <c r="A65" s="171" t="s">
        <v>2</v>
      </c>
      <c r="B65" s="171" t="s">
        <v>320</v>
      </c>
      <c r="C65" s="321" t="s">
        <v>321</v>
      </c>
      <c r="D65" s="321"/>
      <c r="E65" s="321"/>
      <c r="F65" s="321"/>
      <c r="G65" s="321"/>
      <c r="H65" s="321"/>
    </row>
    <row r="66" spans="1:8" s="139" customFormat="1" ht="39.75" customHeight="1" x14ac:dyDescent="0.2">
      <c r="A66" s="195" t="s">
        <v>362</v>
      </c>
      <c r="B66" s="195" t="s">
        <v>322</v>
      </c>
      <c r="C66" s="322" t="s">
        <v>323</v>
      </c>
      <c r="D66" s="322"/>
      <c r="E66" s="322"/>
      <c r="F66" s="322"/>
      <c r="G66" s="140" t="s">
        <v>210</v>
      </c>
      <c r="H66" s="141">
        <f>H92</f>
        <v>872.9</v>
      </c>
    </row>
    <row r="67" spans="1:8" s="139" customFormat="1" ht="42.75" customHeight="1" x14ac:dyDescent="0.2">
      <c r="A67" s="197"/>
      <c r="B67" s="214"/>
      <c r="C67" s="339" t="s">
        <v>405</v>
      </c>
      <c r="D67" s="340"/>
      <c r="E67" s="340"/>
      <c r="F67" s="341"/>
      <c r="G67" s="149" t="s">
        <v>2</v>
      </c>
      <c r="H67" s="150" t="s">
        <v>2</v>
      </c>
    </row>
    <row r="68" spans="1:8" s="139" customFormat="1" ht="30.75" customHeight="1" x14ac:dyDescent="0.2">
      <c r="A68" s="171" t="s">
        <v>2</v>
      </c>
      <c r="B68" s="171" t="s">
        <v>324</v>
      </c>
      <c r="C68" s="321" t="s">
        <v>325</v>
      </c>
      <c r="D68" s="321"/>
      <c r="E68" s="321"/>
      <c r="F68" s="321"/>
      <c r="G68" s="321"/>
      <c r="H68" s="321"/>
    </row>
    <row r="69" spans="1:8" s="139" customFormat="1" ht="39" customHeight="1" x14ac:dyDescent="0.2">
      <c r="A69" s="197" t="s">
        <v>363</v>
      </c>
      <c r="B69" s="187" t="s">
        <v>326</v>
      </c>
      <c r="C69" s="322" t="s">
        <v>427</v>
      </c>
      <c r="D69" s="322"/>
      <c r="E69" s="322"/>
      <c r="F69" s="322"/>
      <c r="G69" s="140" t="s">
        <v>210</v>
      </c>
      <c r="H69" s="141">
        <v>80</v>
      </c>
    </row>
    <row r="70" spans="1:8" s="139" customFormat="1" ht="33.75" customHeight="1" x14ac:dyDescent="0.2">
      <c r="A70" s="197"/>
      <c r="B70" s="187"/>
      <c r="C70" s="339" t="s">
        <v>428</v>
      </c>
      <c r="D70" s="340"/>
      <c r="E70" s="340"/>
      <c r="F70" s="341"/>
      <c r="G70" s="149" t="s">
        <v>2</v>
      </c>
      <c r="H70" s="150" t="s">
        <v>2</v>
      </c>
    </row>
    <row r="71" spans="1:8" s="139" customFormat="1" ht="30.75" customHeight="1" x14ac:dyDescent="0.2">
      <c r="A71" s="197" t="s">
        <v>364</v>
      </c>
      <c r="B71" s="187" t="s">
        <v>327</v>
      </c>
      <c r="C71" s="342" t="s">
        <v>402</v>
      </c>
      <c r="D71" s="342"/>
      <c r="E71" s="342"/>
      <c r="F71" s="342"/>
      <c r="G71" s="140" t="s">
        <v>210</v>
      </c>
      <c r="H71" s="141">
        <f>197*4.7+6*18+35*1.5</f>
        <v>1086.4000000000001</v>
      </c>
    </row>
    <row r="72" spans="1:8" s="139" customFormat="1" ht="59.25" customHeight="1" x14ac:dyDescent="0.2">
      <c r="A72" s="197"/>
      <c r="B72" s="187"/>
      <c r="C72" s="336" t="s">
        <v>406</v>
      </c>
      <c r="D72" s="337"/>
      <c r="E72" s="337"/>
      <c r="F72" s="338"/>
      <c r="G72" s="149" t="s">
        <v>2</v>
      </c>
      <c r="H72" s="150" t="s">
        <v>2</v>
      </c>
    </row>
    <row r="73" spans="1:8" s="139" customFormat="1" ht="24.75" customHeight="1" x14ac:dyDescent="0.2">
      <c r="A73" s="171" t="s">
        <v>2</v>
      </c>
      <c r="B73" s="171" t="s">
        <v>328</v>
      </c>
      <c r="C73" s="321" t="s">
        <v>287</v>
      </c>
      <c r="D73" s="321"/>
      <c r="E73" s="321"/>
      <c r="F73" s="321"/>
      <c r="G73" s="321"/>
      <c r="H73" s="321"/>
    </row>
    <row r="74" spans="1:8" s="139" customFormat="1" ht="42.75" customHeight="1" x14ac:dyDescent="0.2">
      <c r="A74" s="195" t="s">
        <v>365</v>
      </c>
      <c r="B74" s="215" t="s">
        <v>329</v>
      </c>
      <c r="C74" s="343" t="s">
        <v>407</v>
      </c>
      <c r="D74" s="343"/>
      <c r="E74" s="343"/>
      <c r="F74" s="343"/>
      <c r="G74" s="178" t="s">
        <v>210</v>
      </c>
      <c r="H74" s="179">
        <f>197*5.2+35*1.5</f>
        <v>1076.9000000000001</v>
      </c>
    </row>
    <row r="75" spans="1:8" s="139" customFormat="1" ht="100.5" customHeight="1" x14ac:dyDescent="0.2">
      <c r="A75" s="195"/>
      <c r="B75" s="215"/>
      <c r="C75" s="336" t="s">
        <v>408</v>
      </c>
      <c r="D75" s="337"/>
      <c r="E75" s="337"/>
      <c r="F75" s="338"/>
      <c r="G75" s="149" t="s">
        <v>2</v>
      </c>
      <c r="H75" s="150" t="s">
        <v>2</v>
      </c>
    </row>
    <row r="76" spans="1:8" s="139" customFormat="1" ht="24.75" hidden="1" customHeight="1" x14ac:dyDescent="0.2">
      <c r="A76" s="317" t="s">
        <v>257</v>
      </c>
      <c r="B76" s="317"/>
      <c r="C76" s="317"/>
      <c r="D76" s="317"/>
      <c r="E76" s="317"/>
      <c r="F76" s="317"/>
      <c r="G76" s="317"/>
      <c r="H76" s="317"/>
    </row>
    <row r="77" spans="1:8" s="139" customFormat="1" ht="27.75" customHeight="1" x14ac:dyDescent="0.2">
      <c r="A77" s="198" t="s">
        <v>15</v>
      </c>
      <c r="B77" s="198" t="s">
        <v>238</v>
      </c>
      <c r="C77" s="320" t="s">
        <v>239</v>
      </c>
      <c r="D77" s="320"/>
      <c r="E77" s="320"/>
      <c r="F77" s="320"/>
      <c r="G77" s="320"/>
      <c r="H77" s="320"/>
    </row>
    <row r="78" spans="1:8" s="139" customFormat="1" ht="21.75" hidden="1" customHeight="1" x14ac:dyDescent="0.2">
      <c r="A78" s="210" t="s">
        <v>2</v>
      </c>
      <c r="B78" s="210" t="s">
        <v>240</v>
      </c>
      <c r="C78" s="335" t="s">
        <v>241</v>
      </c>
      <c r="D78" s="335"/>
      <c r="E78" s="335"/>
      <c r="F78" s="335"/>
      <c r="G78" s="155"/>
      <c r="H78" s="155"/>
    </row>
    <row r="79" spans="1:8" s="139" customFormat="1" ht="20.25" hidden="1" customHeight="1" x14ac:dyDescent="0.2">
      <c r="A79" s="214">
        <v>54</v>
      </c>
      <c r="B79" s="214" t="s">
        <v>242</v>
      </c>
      <c r="C79" s="151" t="s">
        <v>243</v>
      </c>
      <c r="D79" s="145" t="s">
        <v>215</v>
      </c>
      <c r="E79" s="146" t="s">
        <v>2</v>
      </c>
      <c r="F79" s="146">
        <f>SUM(E80:E80)</f>
        <v>475</v>
      </c>
      <c r="G79" s="155"/>
      <c r="H79" s="155"/>
    </row>
    <row r="80" spans="1:8" s="139" customFormat="1" ht="41.25" hidden="1" customHeight="1" x14ac:dyDescent="0.2">
      <c r="A80" s="214"/>
      <c r="B80" s="216"/>
      <c r="C80" s="152" t="s">
        <v>244</v>
      </c>
      <c r="D80" s="153" t="s">
        <v>216</v>
      </c>
      <c r="E80" s="154">
        <v>475</v>
      </c>
      <c r="F80" s="146" t="s">
        <v>2</v>
      </c>
      <c r="G80" s="155"/>
      <c r="H80" s="155"/>
    </row>
    <row r="81" spans="1:98" s="139" customFormat="1" ht="18" hidden="1" customHeight="1" x14ac:dyDescent="0.2">
      <c r="A81" s="171" t="s">
        <v>2</v>
      </c>
      <c r="B81" s="171" t="s">
        <v>245</v>
      </c>
      <c r="C81" s="321" t="s">
        <v>246</v>
      </c>
      <c r="D81" s="321"/>
      <c r="E81" s="321"/>
      <c r="F81" s="321"/>
      <c r="G81" s="321"/>
      <c r="H81" s="321"/>
    </row>
    <row r="82" spans="1:98" s="139" customFormat="1" ht="20.25" hidden="1" customHeight="1" x14ac:dyDescent="0.2">
      <c r="A82" s="197" t="s">
        <v>292</v>
      </c>
      <c r="B82" s="197"/>
      <c r="C82" s="147" t="s">
        <v>288</v>
      </c>
      <c r="D82" s="140" t="s">
        <v>210</v>
      </c>
      <c r="E82" s="141" t="s">
        <v>2</v>
      </c>
      <c r="F82" s="158">
        <v>0</v>
      </c>
      <c r="G82" s="126">
        <v>33</v>
      </c>
      <c r="H82" s="126"/>
    </row>
    <row r="83" spans="1:98" s="139" customFormat="1" ht="38.25" hidden="1" x14ac:dyDescent="0.2">
      <c r="A83" s="230"/>
      <c r="B83" s="217"/>
      <c r="C83" s="148" t="s">
        <v>247</v>
      </c>
      <c r="D83" s="149" t="s">
        <v>211</v>
      </c>
      <c r="E83" s="150">
        <f>'[1]1.1. Zjazdy indywidualne'!V12</f>
        <v>138.9</v>
      </c>
      <c r="F83" s="150" t="s">
        <v>2</v>
      </c>
      <c r="G83" s="155"/>
      <c r="H83" s="155"/>
    </row>
    <row r="84" spans="1:98" s="139" customFormat="1" ht="19.5" hidden="1" customHeight="1" x14ac:dyDescent="0.2">
      <c r="A84" s="210">
        <v>56</v>
      </c>
      <c r="B84" s="171" t="s">
        <v>248</v>
      </c>
      <c r="C84" s="335" t="s">
        <v>249</v>
      </c>
      <c r="D84" s="335"/>
      <c r="E84" s="335"/>
      <c r="F84" s="335"/>
      <c r="G84" s="155"/>
      <c r="H84" s="155"/>
    </row>
    <row r="85" spans="1:98" s="139" customFormat="1" ht="21.75" hidden="1" customHeight="1" x14ac:dyDescent="0.2">
      <c r="A85" s="214"/>
      <c r="B85" s="197" t="s">
        <v>250</v>
      </c>
      <c r="C85" s="151" t="s">
        <v>251</v>
      </c>
      <c r="D85" s="145" t="s">
        <v>215</v>
      </c>
      <c r="E85" s="146" t="s">
        <v>2</v>
      </c>
      <c r="F85" s="146">
        <f>SUM(E86:E86)</f>
        <v>114</v>
      </c>
      <c r="G85" s="155"/>
      <c r="H85" s="155"/>
    </row>
    <row r="86" spans="1:98" s="139" customFormat="1" ht="42" hidden="1" customHeight="1" x14ac:dyDescent="0.2">
      <c r="A86" s="230"/>
      <c r="B86" s="217"/>
      <c r="C86" s="152" t="s">
        <v>252</v>
      </c>
      <c r="D86" s="153" t="s">
        <v>216</v>
      </c>
      <c r="E86" s="154">
        <v>114</v>
      </c>
      <c r="F86" s="146" t="s">
        <v>2</v>
      </c>
      <c r="G86" s="155"/>
      <c r="H86" s="155"/>
    </row>
    <row r="87" spans="1:98" s="160" customFormat="1" ht="18.75" customHeight="1" x14ac:dyDescent="0.2">
      <c r="A87" s="171" t="s">
        <v>2</v>
      </c>
      <c r="B87" s="171" t="s">
        <v>253</v>
      </c>
      <c r="C87" s="321" t="s">
        <v>254</v>
      </c>
      <c r="D87" s="321"/>
      <c r="E87" s="321"/>
      <c r="F87" s="321"/>
      <c r="G87" s="321"/>
      <c r="H87" s="321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59"/>
      <c r="AU87" s="159"/>
      <c r="AV87" s="159"/>
      <c r="AW87" s="159"/>
      <c r="AX87" s="159"/>
      <c r="AY87" s="159"/>
      <c r="AZ87" s="159"/>
      <c r="BA87" s="159"/>
      <c r="BB87" s="159"/>
      <c r="BC87" s="159"/>
      <c r="BD87" s="159"/>
      <c r="BE87" s="159"/>
      <c r="BF87" s="159"/>
      <c r="BG87" s="159"/>
      <c r="BH87" s="159"/>
      <c r="BI87" s="159"/>
      <c r="BJ87" s="159"/>
      <c r="BK87" s="159"/>
      <c r="BL87" s="159"/>
      <c r="BM87" s="159"/>
      <c r="BN87" s="159"/>
      <c r="BO87" s="159"/>
      <c r="BP87" s="159"/>
      <c r="BQ87" s="159"/>
      <c r="BR87" s="159"/>
      <c r="BS87" s="159"/>
      <c r="BT87" s="159"/>
      <c r="BU87" s="159"/>
      <c r="BV87" s="159"/>
      <c r="BW87" s="159"/>
      <c r="BX87" s="159"/>
      <c r="BY87" s="159"/>
      <c r="BZ87" s="159"/>
      <c r="CA87" s="159"/>
      <c r="CB87" s="159"/>
      <c r="CC87" s="159"/>
      <c r="CD87" s="159"/>
      <c r="CE87" s="159"/>
      <c r="CF87" s="159"/>
      <c r="CG87" s="159"/>
      <c r="CH87" s="159"/>
      <c r="CI87" s="159"/>
      <c r="CJ87" s="159"/>
      <c r="CK87" s="159"/>
      <c r="CL87" s="159"/>
      <c r="CM87" s="159"/>
      <c r="CN87" s="159"/>
      <c r="CO87" s="159"/>
      <c r="CP87" s="159"/>
      <c r="CQ87" s="159"/>
      <c r="CR87" s="159"/>
      <c r="CS87" s="159"/>
      <c r="CT87" s="159"/>
    </row>
    <row r="88" spans="1:98" s="160" customFormat="1" ht="38.25" hidden="1" customHeight="1" x14ac:dyDescent="0.2">
      <c r="A88" s="196"/>
      <c r="B88" s="181"/>
      <c r="C88" s="176" t="s">
        <v>306</v>
      </c>
      <c r="D88" s="118" t="e">
        <f>#REF!</f>
        <v>#REF!</v>
      </c>
      <c r="E88" s="177" t="s">
        <v>256</v>
      </c>
      <c r="F88" s="118" t="s">
        <v>307</v>
      </c>
      <c r="G88" s="149"/>
      <c r="H88" s="150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59"/>
      <c r="Z88" s="159"/>
      <c r="AA88" s="159"/>
      <c r="AB88" s="159"/>
      <c r="AC88" s="159"/>
      <c r="AD88" s="159"/>
      <c r="AE88" s="159"/>
      <c r="AF88" s="159"/>
      <c r="AG88" s="159"/>
      <c r="AH88" s="159"/>
      <c r="AI88" s="159"/>
      <c r="AJ88" s="159"/>
      <c r="AK88" s="159"/>
      <c r="AL88" s="159"/>
      <c r="AM88" s="159"/>
      <c r="AN88" s="159"/>
      <c r="AO88" s="159"/>
      <c r="AP88" s="159"/>
      <c r="AQ88" s="159"/>
      <c r="AR88" s="159"/>
      <c r="AS88" s="159"/>
      <c r="AT88" s="159"/>
      <c r="AU88" s="159"/>
      <c r="AV88" s="159"/>
      <c r="AW88" s="159"/>
      <c r="AX88" s="159"/>
      <c r="AY88" s="159"/>
      <c r="AZ88" s="159"/>
      <c r="BA88" s="159"/>
      <c r="BB88" s="159"/>
      <c r="BC88" s="159"/>
      <c r="BD88" s="159"/>
      <c r="BE88" s="159"/>
      <c r="BF88" s="159"/>
      <c r="BG88" s="159"/>
      <c r="BH88" s="159"/>
      <c r="BI88" s="159"/>
      <c r="BJ88" s="159"/>
      <c r="BK88" s="159"/>
      <c r="BL88" s="159"/>
      <c r="BM88" s="159"/>
      <c r="BN88" s="159"/>
      <c r="BO88" s="159"/>
      <c r="BP88" s="159"/>
      <c r="BQ88" s="159"/>
      <c r="BR88" s="159"/>
      <c r="BS88" s="159"/>
      <c r="BT88" s="159"/>
      <c r="BU88" s="159"/>
      <c r="BV88" s="159"/>
      <c r="BW88" s="159"/>
      <c r="BX88" s="159"/>
      <c r="BY88" s="159"/>
      <c r="BZ88" s="159"/>
      <c r="CA88" s="159"/>
      <c r="CB88" s="159"/>
      <c r="CC88" s="159"/>
      <c r="CD88" s="159"/>
      <c r="CE88" s="159"/>
      <c r="CF88" s="159"/>
      <c r="CG88" s="159"/>
      <c r="CH88" s="159"/>
      <c r="CI88" s="159"/>
      <c r="CJ88" s="159"/>
      <c r="CK88" s="159"/>
      <c r="CL88" s="159"/>
      <c r="CM88" s="159"/>
      <c r="CN88" s="159"/>
      <c r="CO88" s="159"/>
      <c r="CP88" s="159"/>
      <c r="CQ88" s="159"/>
      <c r="CR88" s="159"/>
      <c r="CS88" s="159"/>
      <c r="CT88" s="159"/>
    </row>
    <row r="89" spans="1:98" s="160" customFormat="1" ht="42.75" hidden="1" customHeight="1" x14ac:dyDescent="0.2">
      <c r="A89" s="197">
        <v>46</v>
      </c>
      <c r="B89" s="195" t="s">
        <v>315</v>
      </c>
      <c r="C89" s="322" t="s">
        <v>316</v>
      </c>
      <c r="D89" s="322"/>
      <c r="E89" s="322"/>
      <c r="F89" s="322"/>
      <c r="G89" s="140" t="s">
        <v>210</v>
      </c>
      <c r="H89" s="141" t="s">
        <v>2</v>
      </c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59"/>
      <c r="Z89" s="159"/>
      <c r="AA89" s="159"/>
      <c r="AB89" s="159"/>
      <c r="AC89" s="159"/>
      <c r="AD89" s="159"/>
      <c r="AE89" s="159"/>
      <c r="AF89" s="159"/>
      <c r="AG89" s="159"/>
      <c r="AH89" s="159"/>
      <c r="AI89" s="159"/>
      <c r="AJ89" s="159"/>
      <c r="AK89" s="159"/>
      <c r="AL89" s="159"/>
      <c r="AM89" s="159"/>
      <c r="AN89" s="159"/>
      <c r="AO89" s="159"/>
      <c r="AP89" s="159"/>
      <c r="AQ89" s="159"/>
      <c r="AR89" s="159"/>
      <c r="AS89" s="159"/>
      <c r="AT89" s="159"/>
      <c r="AU89" s="159"/>
      <c r="AV89" s="159"/>
      <c r="AW89" s="159"/>
      <c r="AX89" s="159"/>
      <c r="AY89" s="159"/>
      <c r="AZ89" s="159"/>
      <c r="BA89" s="159"/>
      <c r="BB89" s="159"/>
      <c r="BC89" s="159"/>
      <c r="BD89" s="159"/>
      <c r="BE89" s="159"/>
      <c r="BF89" s="159"/>
      <c r="BG89" s="159"/>
      <c r="BH89" s="159"/>
      <c r="BI89" s="159"/>
      <c r="BJ89" s="159"/>
      <c r="BK89" s="159"/>
      <c r="BL89" s="159"/>
      <c r="BM89" s="159"/>
      <c r="BN89" s="159"/>
      <c r="BO89" s="159"/>
      <c r="BP89" s="159"/>
      <c r="BQ89" s="159"/>
      <c r="BR89" s="159"/>
      <c r="BS89" s="159"/>
      <c r="BT89" s="159"/>
      <c r="BU89" s="159"/>
      <c r="BV89" s="159"/>
      <c r="BW89" s="159"/>
      <c r="BX89" s="159"/>
      <c r="BY89" s="159"/>
      <c r="BZ89" s="159"/>
      <c r="CA89" s="159"/>
      <c r="CB89" s="159"/>
      <c r="CC89" s="159"/>
      <c r="CD89" s="159"/>
      <c r="CE89" s="159"/>
      <c r="CF89" s="159"/>
      <c r="CG89" s="159"/>
      <c r="CH89" s="159"/>
      <c r="CI89" s="159"/>
      <c r="CJ89" s="159"/>
      <c r="CK89" s="159"/>
      <c r="CL89" s="159"/>
      <c r="CM89" s="159"/>
      <c r="CN89" s="159"/>
      <c r="CO89" s="159"/>
      <c r="CP89" s="159"/>
      <c r="CQ89" s="159"/>
      <c r="CR89" s="159"/>
      <c r="CS89" s="159"/>
      <c r="CT89" s="159"/>
    </row>
    <row r="90" spans="1:98" s="160" customFormat="1" ht="27" hidden="1" customHeight="1" x14ac:dyDescent="0.2">
      <c r="A90" s="214"/>
      <c r="B90" s="206"/>
      <c r="C90" s="151"/>
      <c r="D90" s="145"/>
      <c r="E90" s="146"/>
      <c r="F90" s="161"/>
      <c r="G90" s="134"/>
      <c r="H90" s="134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59"/>
      <c r="AH90" s="159"/>
      <c r="AI90" s="159"/>
      <c r="AJ90" s="159"/>
      <c r="AK90" s="159"/>
      <c r="AL90" s="159"/>
      <c r="AM90" s="159"/>
      <c r="AN90" s="159"/>
      <c r="AO90" s="159"/>
      <c r="AP90" s="159"/>
      <c r="AQ90" s="159"/>
      <c r="AR90" s="159"/>
      <c r="AS90" s="159"/>
      <c r="AT90" s="159"/>
      <c r="AU90" s="159"/>
      <c r="AV90" s="159"/>
      <c r="AW90" s="159"/>
      <c r="AX90" s="159"/>
      <c r="AY90" s="159"/>
      <c r="AZ90" s="159"/>
      <c r="BA90" s="159"/>
      <c r="BB90" s="159"/>
      <c r="BC90" s="159"/>
      <c r="BD90" s="159"/>
      <c r="BE90" s="159"/>
      <c r="BF90" s="159"/>
      <c r="BG90" s="159"/>
      <c r="BH90" s="159"/>
      <c r="BI90" s="159"/>
      <c r="BJ90" s="159"/>
      <c r="BK90" s="159"/>
      <c r="BL90" s="159"/>
      <c r="BM90" s="159"/>
      <c r="BN90" s="159"/>
      <c r="BO90" s="159"/>
      <c r="BP90" s="159"/>
      <c r="BQ90" s="159"/>
      <c r="BR90" s="159"/>
      <c r="BS90" s="159"/>
      <c r="BT90" s="159"/>
      <c r="BU90" s="159"/>
      <c r="BV90" s="159"/>
      <c r="BW90" s="159"/>
      <c r="BX90" s="159"/>
      <c r="BY90" s="159"/>
      <c r="BZ90" s="159"/>
      <c r="CA90" s="159"/>
      <c r="CB90" s="159"/>
      <c r="CC90" s="159"/>
      <c r="CD90" s="159"/>
      <c r="CE90" s="159"/>
      <c r="CF90" s="159"/>
      <c r="CG90" s="159"/>
      <c r="CH90" s="159"/>
      <c r="CI90" s="159"/>
      <c r="CJ90" s="159"/>
      <c r="CK90" s="159"/>
      <c r="CL90" s="159"/>
      <c r="CM90" s="159"/>
      <c r="CN90" s="159"/>
      <c r="CO90" s="159"/>
      <c r="CP90" s="159"/>
      <c r="CQ90" s="159"/>
      <c r="CR90" s="159"/>
      <c r="CS90" s="159"/>
      <c r="CT90" s="159"/>
    </row>
    <row r="91" spans="1:98" s="160" customFormat="1" ht="26.25" hidden="1" customHeight="1" x14ac:dyDescent="0.2">
      <c r="A91" s="230"/>
      <c r="B91" s="217"/>
      <c r="C91" s="152"/>
      <c r="D91" s="153"/>
      <c r="E91" s="154"/>
      <c r="F91" s="146"/>
      <c r="G91" s="134"/>
      <c r="H91" s="134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59"/>
      <c r="Z91" s="159"/>
      <c r="AA91" s="159"/>
      <c r="AB91" s="159"/>
      <c r="AC91" s="159"/>
      <c r="AD91" s="159"/>
      <c r="AE91" s="159"/>
      <c r="AF91" s="159"/>
      <c r="AG91" s="159"/>
      <c r="AH91" s="159"/>
      <c r="AI91" s="159"/>
      <c r="AJ91" s="159"/>
      <c r="AK91" s="159"/>
      <c r="AL91" s="159"/>
      <c r="AM91" s="159"/>
      <c r="AN91" s="159"/>
      <c r="AO91" s="159"/>
      <c r="AP91" s="159"/>
      <c r="AQ91" s="159"/>
      <c r="AR91" s="159"/>
      <c r="AS91" s="159"/>
      <c r="AT91" s="159"/>
      <c r="AU91" s="159"/>
      <c r="AV91" s="159"/>
      <c r="AW91" s="159"/>
      <c r="AX91" s="159"/>
      <c r="AY91" s="159"/>
      <c r="AZ91" s="159"/>
      <c r="BA91" s="159"/>
      <c r="BB91" s="159"/>
      <c r="BC91" s="159"/>
      <c r="BD91" s="159"/>
      <c r="BE91" s="159"/>
      <c r="BF91" s="159"/>
      <c r="BG91" s="159"/>
      <c r="BH91" s="159"/>
      <c r="BI91" s="159"/>
      <c r="BJ91" s="159"/>
      <c r="BK91" s="159"/>
      <c r="BL91" s="159"/>
      <c r="BM91" s="159"/>
      <c r="BN91" s="159"/>
      <c r="BO91" s="159"/>
      <c r="BP91" s="159"/>
      <c r="BQ91" s="159"/>
      <c r="BR91" s="159"/>
      <c r="BS91" s="159"/>
      <c r="BT91" s="159"/>
      <c r="BU91" s="159"/>
      <c r="BV91" s="159"/>
      <c r="BW91" s="159"/>
      <c r="BX91" s="159"/>
      <c r="BY91" s="159"/>
      <c r="BZ91" s="159"/>
      <c r="CA91" s="159"/>
      <c r="CB91" s="159"/>
      <c r="CC91" s="159"/>
      <c r="CD91" s="159"/>
      <c r="CE91" s="159"/>
      <c r="CF91" s="159"/>
      <c r="CG91" s="159"/>
      <c r="CH91" s="159"/>
      <c r="CI91" s="159"/>
      <c r="CJ91" s="159"/>
      <c r="CK91" s="159"/>
      <c r="CL91" s="159"/>
      <c r="CM91" s="159"/>
      <c r="CN91" s="159"/>
      <c r="CO91" s="159"/>
      <c r="CP91" s="159"/>
      <c r="CQ91" s="159"/>
      <c r="CR91" s="159"/>
      <c r="CS91" s="159"/>
      <c r="CT91" s="159"/>
    </row>
    <row r="92" spans="1:98" s="183" customFormat="1" ht="30.75" customHeight="1" x14ac:dyDescent="0.2">
      <c r="A92" s="197" t="s">
        <v>366</v>
      </c>
      <c r="B92" s="195" t="s">
        <v>315</v>
      </c>
      <c r="C92" s="322" t="s">
        <v>420</v>
      </c>
      <c r="D92" s="322"/>
      <c r="E92" s="322"/>
      <c r="F92" s="322"/>
      <c r="G92" s="140" t="s">
        <v>210</v>
      </c>
      <c r="H92" s="141">
        <f>197*3.7+25*1.6+2*7+90</f>
        <v>872.9</v>
      </c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82"/>
      <c r="AR92" s="182"/>
      <c r="AS92" s="182"/>
      <c r="AT92" s="182"/>
      <c r="AU92" s="182"/>
      <c r="AV92" s="182"/>
      <c r="AW92" s="182"/>
      <c r="AX92" s="182"/>
      <c r="AY92" s="182"/>
      <c r="AZ92" s="182"/>
      <c r="BA92" s="182"/>
      <c r="BB92" s="182"/>
      <c r="BC92" s="182"/>
      <c r="BD92" s="182"/>
      <c r="BE92" s="182"/>
      <c r="BF92" s="182"/>
    </row>
    <row r="93" spans="1:98" s="163" customFormat="1" ht="51" customHeight="1" x14ac:dyDescent="0.2">
      <c r="A93" s="230"/>
      <c r="B93" s="216"/>
      <c r="C93" s="332" t="s">
        <v>421</v>
      </c>
      <c r="D93" s="333"/>
      <c r="E93" s="333"/>
      <c r="F93" s="334"/>
      <c r="G93" s="149" t="s">
        <v>2</v>
      </c>
      <c r="H93" s="150" t="s">
        <v>2</v>
      </c>
      <c r="I93" s="162"/>
      <c r="J93" s="162"/>
      <c r="K93" s="162"/>
      <c r="L93" s="162"/>
      <c r="M93" s="162"/>
      <c r="N93" s="162"/>
      <c r="O93" s="162"/>
      <c r="P93" s="162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/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  <c r="BI93" s="162"/>
      <c r="BJ93" s="162"/>
      <c r="BK93" s="162"/>
      <c r="BL93" s="162"/>
      <c r="BM93" s="162"/>
      <c r="BN93" s="162"/>
      <c r="BO93" s="162"/>
      <c r="BP93" s="162"/>
      <c r="BQ93" s="162"/>
      <c r="BR93" s="162"/>
      <c r="BS93" s="162"/>
      <c r="BT93" s="162"/>
      <c r="BU93" s="162"/>
      <c r="BV93" s="162"/>
      <c r="BW93" s="162"/>
      <c r="BX93" s="162"/>
      <c r="BY93" s="162"/>
      <c r="BZ93" s="162"/>
      <c r="CA93" s="162"/>
      <c r="CB93" s="162"/>
      <c r="CC93" s="162"/>
      <c r="CD93" s="162"/>
      <c r="CE93" s="162"/>
      <c r="CF93" s="162"/>
      <c r="CG93" s="162"/>
      <c r="CH93" s="162"/>
      <c r="CI93" s="162"/>
      <c r="CJ93" s="162"/>
      <c r="CK93" s="162"/>
      <c r="CL93" s="162"/>
      <c r="CM93" s="162"/>
      <c r="CN93" s="162"/>
      <c r="CO93" s="162"/>
      <c r="CP93" s="162"/>
      <c r="CQ93" s="162"/>
      <c r="CR93" s="162"/>
      <c r="CS93" s="162"/>
      <c r="CT93" s="162"/>
    </row>
    <row r="94" spans="1:98" s="160" customFormat="1" ht="34.5" customHeight="1" x14ac:dyDescent="0.2">
      <c r="A94" s="197" t="s">
        <v>367</v>
      </c>
      <c r="B94" s="195" t="s">
        <v>255</v>
      </c>
      <c r="C94" s="322" t="s">
        <v>423</v>
      </c>
      <c r="D94" s="322"/>
      <c r="E94" s="322"/>
      <c r="F94" s="322"/>
      <c r="G94" s="140" t="s">
        <v>210</v>
      </c>
      <c r="H94" s="141">
        <f>197*3.5+25*1.5+2*7+87</f>
        <v>828</v>
      </c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59"/>
      <c r="Z94" s="159"/>
      <c r="AA94" s="159"/>
      <c r="AB94" s="159"/>
      <c r="AC94" s="159"/>
      <c r="AD94" s="159"/>
      <c r="AE94" s="159"/>
      <c r="AF94" s="159"/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59"/>
      <c r="AU94" s="159"/>
      <c r="AV94" s="159"/>
      <c r="AW94" s="159"/>
      <c r="AX94" s="159"/>
      <c r="AY94" s="159"/>
      <c r="AZ94" s="159"/>
      <c r="BA94" s="159"/>
      <c r="BB94" s="159"/>
      <c r="BC94" s="159"/>
      <c r="BD94" s="159"/>
      <c r="BE94" s="159"/>
      <c r="BF94" s="159"/>
      <c r="BG94" s="159"/>
      <c r="BH94" s="159"/>
      <c r="BI94" s="159"/>
      <c r="BJ94" s="159"/>
      <c r="BK94" s="159"/>
      <c r="BL94" s="159"/>
      <c r="BM94" s="159"/>
      <c r="BN94" s="159"/>
      <c r="BO94" s="159"/>
      <c r="BP94" s="159"/>
      <c r="BQ94" s="159"/>
      <c r="BR94" s="159"/>
      <c r="BS94" s="159"/>
      <c r="BT94" s="159"/>
      <c r="BU94" s="159"/>
      <c r="BV94" s="159"/>
      <c r="BW94" s="159"/>
      <c r="BX94" s="159"/>
      <c r="BY94" s="159"/>
      <c r="BZ94" s="159"/>
      <c r="CA94" s="159"/>
      <c r="CB94" s="159"/>
      <c r="CC94" s="159"/>
      <c r="CD94" s="159"/>
      <c r="CE94" s="159"/>
      <c r="CF94" s="159"/>
      <c r="CG94" s="159"/>
      <c r="CH94" s="159"/>
      <c r="CI94" s="159"/>
      <c r="CJ94" s="159"/>
      <c r="CK94" s="159"/>
      <c r="CL94" s="159"/>
      <c r="CM94" s="159"/>
      <c r="CN94" s="159"/>
      <c r="CO94" s="159"/>
      <c r="CP94" s="159"/>
      <c r="CQ94" s="159"/>
      <c r="CR94" s="159"/>
      <c r="CS94" s="159"/>
      <c r="CT94" s="159"/>
    </row>
    <row r="95" spans="1:98" s="160" customFormat="1" ht="54.75" customHeight="1" x14ac:dyDescent="0.2">
      <c r="A95" s="197"/>
      <c r="B95" s="195"/>
      <c r="C95" s="332" t="s">
        <v>422</v>
      </c>
      <c r="D95" s="333"/>
      <c r="E95" s="333"/>
      <c r="F95" s="334"/>
      <c r="G95" s="149" t="s">
        <v>2</v>
      </c>
      <c r="H95" s="150" t="s">
        <v>2</v>
      </c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  <c r="AE95" s="159"/>
      <c r="AF95" s="159"/>
      <c r="AG95" s="159"/>
      <c r="AH95" s="159"/>
      <c r="AI95" s="159"/>
      <c r="AJ95" s="159"/>
      <c r="AK95" s="159"/>
      <c r="AL95" s="159"/>
      <c r="AM95" s="159"/>
      <c r="AN95" s="159"/>
      <c r="AO95" s="159"/>
      <c r="AP95" s="159"/>
      <c r="AQ95" s="159"/>
      <c r="AR95" s="159"/>
      <c r="AS95" s="159"/>
      <c r="AT95" s="159"/>
      <c r="AU95" s="159"/>
      <c r="AV95" s="159"/>
      <c r="AW95" s="159"/>
      <c r="AX95" s="159"/>
      <c r="AY95" s="159"/>
      <c r="AZ95" s="159"/>
      <c r="BA95" s="159"/>
      <c r="BB95" s="159"/>
      <c r="BC95" s="159"/>
      <c r="BD95" s="159"/>
      <c r="BE95" s="159"/>
      <c r="BF95" s="159"/>
      <c r="BG95" s="159"/>
      <c r="BH95" s="159"/>
      <c r="BI95" s="159"/>
      <c r="BJ95" s="159"/>
      <c r="BK95" s="159"/>
      <c r="BL95" s="159"/>
      <c r="BM95" s="159"/>
      <c r="BN95" s="159"/>
      <c r="BO95" s="159"/>
      <c r="BP95" s="159"/>
      <c r="BQ95" s="159"/>
      <c r="BR95" s="159"/>
      <c r="BS95" s="159"/>
      <c r="BT95" s="159"/>
      <c r="BU95" s="159"/>
      <c r="BV95" s="159"/>
      <c r="BW95" s="159"/>
      <c r="BX95" s="159"/>
      <c r="BY95" s="159"/>
      <c r="BZ95" s="159"/>
      <c r="CA95" s="159"/>
      <c r="CB95" s="159"/>
      <c r="CC95" s="159"/>
      <c r="CD95" s="159"/>
      <c r="CE95" s="159"/>
      <c r="CF95" s="159"/>
      <c r="CG95" s="159"/>
      <c r="CH95" s="159"/>
      <c r="CI95" s="159"/>
      <c r="CJ95" s="159"/>
      <c r="CK95" s="159"/>
      <c r="CL95" s="159"/>
      <c r="CM95" s="159"/>
      <c r="CN95" s="159"/>
      <c r="CO95" s="159"/>
      <c r="CP95" s="159"/>
      <c r="CQ95" s="159"/>
      <c r="CR95" s="159"/>
      <c r="CS95" s="159"/>
      <c r="CT95" s="159"/>
    </row>
    <row r="96" spans="1:98" s="160" customFormat="1" ht="34.5" customHeight="1" x14ac:dyDescent="0.2">
      <c r="A96" s="171" t="s">
        <v>2</v>
      </c>
      <c r="B96" s="171" t="s">
        <v>317</v>
      </c>
      <c r="C96" s="321" t="s">
        <v>318</v>
      </c>
      <c r="D96" s="321"/>
      <c r="E96" s="321"/>
      <c r="F96" s="321"/>
      <c r="G96" s="321" t="s">
        <v>273</v>
      </c>
      <c r="H96" s="321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  <c r="AC96" s="159"/>
      <c r="AD96" s="159"/>
      <c r="AE96" s="159"/>
      <c r="AF96" s="159"/>
      <c r="AG96" s="159"/>
      <c r="AH96" s="159"/>
      <c r="AI96" s="159"/>
      <c r="AJ96" s="159"/>
      <c r="AK96" s="159"/>
      <c r="AL96" s="159"/>
      <c r="AM96" s="159"/>
      <c r="AN96" s="159"/>
      <c r="AO96" s="159"/>
      <c r="AP96" s="159"/>
      <c r="AQ96" s="159"/>
      <c r="AR96" s="159"/>
      <c r="AS96" s="159"/>
      <c r="AT96" s="159"/>
      <c r="AU96" s="159"/>
      <c r="AV96" s="159"/>
      <c r="AW96" s="159"/>
      <c r="AX96" s="159"/>
      <c r="AY96" s="159"/>
      <c r="AZ96" s="159"/>
      <c r="BA96" s="159"/>
      <c r="BB96" s="159"/>
      <c r="BC96" s="159"/>
      <c r="BD96" s="159"/>
      <c r="BE96" s="159"/>
      <c r="BF96" s="159"/>
      <c r="BG96" s="159"/>
      <c r="BH96" s="159"/>
      <c r="BI96" s="159"/>
      <c r="BJ96" s="159"/>
      <c r="BK96" s="159"/>
      <c r="BL96" s="159"/>
      <c r="BM96" s="159"/>
      <c r="BN96" s="159"/>
      <c r="BO96" s="159"/>
      <c r="BP96" s="159"/>
      <c r="BQ96" s="159"/>
      <c r="BR96" s="159"/>
      <c r="BS96" s="159"/>
      <c r="BT96" s="159"/>
      <c r="BU96" s="159"/>
      <c r="BV96" s="159"/>
      <c r="BW96" s="159"/>
      <c r="BX96" s="159"/>
      <c r="BY96" s="159"/>
      <c r="BZ96" s="159"/>
      <c r="CA96" s="159"/>
      <c r="CB96" s="159"/>
      <c r="CC96" s="159"/>
      <c r="CD96" s="159"/>
      <c r="CE96" s="159"/>
      <c r="CF96" s="159"/>
      <c r="CG96" s="159"/>
      <c r="CH96" s="159"/>
      <c r="CI96" s="159"/>
      <c r="CJ96" s="159"/>
      <c r="CK96" s="159"/>
      <c r="CL96" s="159"/>
      <c r="CM96" s="159"/>
      <c r="CN96" s="159"/>
      <c r="CO96" s="159"/>
      <c r="CP96" s="159"/>
      <c r="CQ96" s="159"/>
      <c r="CR96" s="159"/>
      <c r="CS96" s="159"/>
      <c r="CT96" s="159"/>
    </row>
    <row r="97" spans="1:98" s="160" customFormat="1" ht="40.5" customHeight="1" x14ac:dyDescent="0.2">
      <c r="A97" s="195" t="s">
        <v>346</v>
      </c>
      <c r="B97" s="195" t="s">
        <v>319</v>
      </c>
      <c r="C97" s="322" t="s">
        <v>425</v>
      </c>
      <c r="D97" s="322"/>
      <c r="E97" s="322"/>
      <c r="F97" s="322"/>
      <c r="G97" s="140" t="s">
        <v>210</v>
      </c>
      <c r="H97" s="141">
        <f>3.3*197</f>
        <v>650.1</v>
      </c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59"/>
      <c r="Z97" s="159"/>
      <c r="AA97" s="159"/>
      <c r="AB97" s="159"/>
      <c r="AC97" s="159"/>
      <c r="AD97" s="159"/>
      <c r="AE97" s="159"/>
      <c r="AF97" s="159"/>
      <c r="AG97" s="159"/>
      <c r="AH97" s="159"/>
      <c r="AI97" s="159"/>
      <c r="AJ97" s="159"/>
      <c r="AK97" s="159"/>
      <c r="AL97" s="159"/>
      <c r="AM97" s="159"/>
      <c r="AN97" s="159"/>
      <c r="AO97" s="159"/>
      <c r="AP97" s="159"/>
      <c r="AQ97" s="159"/>
      <c r="AR97" s="159"/>
      <c r="AS97" s="159"/>
      <c r="AT97" s="159"/>
      <c r="AU97" s="159"/>
      <c r="AV97" s="159"/>
      <c r="AW97" s="159"/>
      <c r="AX97" s="159"/>
      <c r="AY97" s="159"/>
      <c r="AZ97" s="159"/>
      <c r="BA97" s="159"/>
      <c r="BB97" s="159"/>
      <c r="BC97" s="159"/>
      <c r="BD97" s="159"/>
      <c r="BE97" s="159"/>
      <c r="BF97" s="159"/>
      <c r="BG97" s="159"/>
      <c r="BH97" s="159"/>
      <c r="BI97" s="159"/>
      <c r="BJ97" s="159"/>
      <c r="BK97" s="159"/>
      <c r="BL97" s="159"/>
      <c r="BM97" s="159"/>
      <c r="BN97" s="159"/>
      <c r="BO97" s="159"/>
      <c r="BP97" s="159"/>
      <c r="BQ97" s="159"/>
      <c r="BR97" s="159"/>
      <c r="BS97" s="159"/>
      <c r="BT97" s="159"/>
      <c r="BU97" s="159"/>
      <c r="BV97" s="159"/>
      <c r="BW97" s="159"/>
      <c r="BX97" s="159"/>
      <c r="BY97" s="159"/>
      <c r="BZ97" s="159"/>
      <c r="CA97" s="159"/>
      <c r="CB97" s="159"/>
      <c r="CC97" s="159"/>
      <c r="CD97" s="159"/>
      <c r="CE97" s="159"/>
      <c r="CF97" s="159"/>
      <c r="CG97" s="159"/>
      <c r="CH97" s="159"/>
      <c r="CI97" s="159"/>
      <c r="CJ97" s="159"/>
      <c r="CK97" s="159"/>
      <c r="CL97" s="159"/>
      <c r="CM97" s="159"/>
      <c r="CN97" s="159"/>
      <c r="CO97" s="159"/>
      <c r="CP97" s="159"/>
      <c r="CQ97" s="159"/>
      <c r="CR97" s="159"/>
      <c r="CS97" s="159"/>
      <c r="CT97" s="159"/>
    </row>
    <row r="98" spans="1:98" s="160" customFormat="1" ht="53.25" customHeight="1" x14ac:dyDescent="0.2">
      <c r="A98" s="195"/>
      <c r="B98" s="195"/>
      <c r="C98" s="332" t="s">
        <v>424</v>
      </c>
      <c r="D98" s="333"/>
      <c r="E98" s="333"/>
      <c r="F98" s="334"/>
      <c r="G98" s="149" t="s">
        <v>2</v>
      </c>
      <c r="H98" s="150" t="s">
        <v>2</v>
      </c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59"/>
      <c r="Z98" s="159"/>
      <c r="AA98" s="159"/>
      <c r="AB98" s="159"/>
      <c r="AC98" s="159"/>
      <c r="AD98" s="159"/>
      <c r="AE98" s="159"/>
      <c r="AF98" s="159"/>
      <c r="AG98" s="159"/>
      <c r="AH98" s="159"/>
      <c r="AI98" s="159"/>
      <c r="AJ98" s="159"/>
      <c r="AK98" s="159"/>
      <c r="AL98" s="159"/>
      <c r="AM98" s="159"/>
      <c r="AN98" s="159"/>
      <c r="AO98" s="159"/>
      <c r="AP98" s="159"/>
      <c r="AQ98" s="159"/>
      <c r="AR98" s="159"/>
      <c r="AS98" s="159"/>
      <c r="AT98" s="159"/>
      <c r="AU98" s="159"/>
      <c r="AV98" s="159"/>
      <c r="AW98" s="159"/>
      <c r="AX98" s="159"/>
      <c r="AY98" s="159"/>
      <c r="AZ98" s="159"/>
      <c r="BA98" s="159"/>
      <c r="BB98" s="159"/>
      <c r="BC98" s="159"/>
      <c r="BD98" s="159"/>
      <c r="BE98" s="159"/>
      <c r="BF98" s="159"/>
      <c r="BG98" s="159"/>
      <c r="BH98" s="159"/>
      <c r="BI98" s="159"/>
      <c r="BJ98" s="159"/>
      <c r="BK98" s="159"/>
      <c r="BL98" s="159"/>
      <c r="BM98" s="159"/>
      <c r="BN98" s="159"/>
      <c r="BO98" s="159"/>
      <c r="BP98" s="159"/>
      <c r="BQ98" s="159"/>
      <c r="BR98" s="159"/>
      <c r="BS98" s="159"/>
      <c r="BT98" s="159"/>
      <c r="BU98" s="159"/>
      <c r="BV98" s="159"/>
      <c r="BW98" s="159"/>
      <c r="BX98" s="159"/>
      <c r="BY98" s="159"/>
      <c r="BZ98" s="159"/>
      <c r="CA98" s="159"/>
      <c r="CB98" s="159"/>
      <c r="CC98" s="159"/>
      <c r="CD98" s="159"/>
      <c r="CE98" s="159"/>
      <c r="CF98" s="159"/>
      <c r="CG98" s="159"/>
      <c r="CH98" s="159"/>
      <c r="CI98" s="159"/>
      <c r="CJ98" s="159"/>
      <c r="CK98" s="159"/>
      <c r="CL98" s="159"/>
      <c r="CM98" s="159"/>
      <c r="CN98" s="159"/>
      <c r="CO98" s="159"/>
      <c r="CP98" s="159"/>
      <c r="CQ98" s="159"/>
      <c r="CR98" s="159"/>
      <c r="CS98" s="159"/>
      <c r="CT98" s="159"/>
    </row>
    <row r="99" spans="1:98" s="160" customFormat="1" ht="23.25" hidden="1" customHeight="1" x14ac:dyDescent="0.2">
      <c r="A99" s="317" t="s">
        <v>266</v>
      </c>
      <c r="B99" s="317"/>
      <c r="C99" s="317"/>
      <c r="D99" s="317"/>
      <c r="E99" s="317"/>
      <c r="F99" s="317"/>
      <c r="G99" s="317"/>
      <c r="H99" s="317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59"/>
      <c r="Z99" s="159"/>
      <c r="AA99" s="159"/>
      <c r="AB99" s="159"/>
      <c r="AC99" s="159"/>
      <c r="AD99" s="159"/>
      <c r="AE99" s="159"/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59"/>
      <c r="AU99" s="159"/>
      <c r="AV99" s="159"/>
      <c r="AW99" s="159"/>
      <c r="AX99" s="159"/>
      <c r="AY99" s="159"/>
      <c r="AZ99" s="159"/>
      <c r="BA99" s="159"/>
      <c r="BB99" s="159"/>
      <c r="BC99" s="159"/>
      <c r="BD99" s="159"/>
      <c r="BE99" s="159"/>
      <c r="BF99" s="159"/>
      <c r="BG99" s="159"/>
      <c r="BH99" s="159"/>
      <c r="BI99" s="159"/>
      <c r="BJ99" s="159"/>
      <c r="BK99" s="159"/>
      <c r="BL99" s="159"/>
      <c r="BM99" s="159"/>
      <c r="BN99" s="159"/>
      <c r="BO99" s="159"/>
      <c r="BP99" s="159"/>
      <c r="BQ99" s="159"/>
      <c r="BR99" s="159"/>
      <c r="BS99" s="159"/>
      <c r="BT99" s="159"/>
      <c r="BU99" s="159"/>
      <c r="BV99" s="159"/>
      <c r="BW99" s="159"/>
      <c r="BX99" s="159"/>
      <c r="BY99" s="159"/>
      <c r="BZ99" s="159"/>
      <c r="CA99" s="159"/>
      <c r="CB99" s="159"/>
      <c r="CC99" s="159"/>
      <c r="CD99" s="159"/>
      <c r="CE99" s="159"/>
      <c r="CF99" s="159"/>
      <c r="CG99" s="159"/>
      <c r="CH99" s="159"/>
      <c r="CI99" s="159"/>
      <c r="CJ99" s="159"/>
      <c r="CK99" s="159"/>
      <c r="CL99" s="159"/>
      <c r="CM99" s="159"/>
      <c r="CN99" s="159"/>
      <c r="CO99" s="159"/>
      <c r="CP99" s="159"/>
      <c r="CQ99" s="159"/>
      <c r="CR99" s="159"/>
      <c r="CS99" s="159"/>
      <c r="CT99" s="159"/>
    </row>
    <row r="100" spans="1:98" s="164" customFormat="1" ht="25.5" customHeight="1" x14ac:dyDescent="0.2">
      <c r="A100" s="198" t="s">
        <v>16</v>
      </c>
      <c r="B100" s="198" t="s">
        <v>258</v>
      </c>
      <c r="C100" s="320" t="s">
        <v>259</v>
      </c>
      <c r="D100" s="320"/>
      <c r="E100" s="320"/>
      <c r="F100" s="320"/>
      <c r="G100" s="320"/>
      <c r="H100" s="320"/>
      <c r="I100" s="162"/>
      <c r="J100" s="162"/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/>
      <c r="AF100" s="162"/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  <c r="BI100" s="162"/>
      <c r="BJ100" s="162"/>
      <c r="BK100" s="162"/>
      <c r="BL100" s="162"/>
      <c r="BM100" s="162"/>
      <c r="BN100" s="162"/>
      <c r="BO100" s="162"/>
      <c r="BP100" s="162"/>
      <c r="BQ100" s="162"/>
      <c r="BR100" s="162"/>
      <c r="BS100" s="162"/>
      <c r="BT100" s="162"/>
      <c r="BU100" s="162"/>
      <c r="BV100" s="162"/>
      <c r="BW100" s="162"/>
      <c r="BX100" s="162"/>
      <c r="BY100" s="162"/>
      <c r="BZ100" s="162"/>
      <c r="CA100" s="162"/>
      <c r="CB100" s="162"/>
      <c r="CC100" s="162"/>
      <c r="CD100" s="162"/>
      <c r="CE100" s="162"/>
      <c r="CF100" s="162"/>
      <c r="CG100" s="162"/>
      <c r="CH100" s="162"/>
      <c r="CI100" s="162"/>
      <c r="CJ100" s="162"/>
      <c r="CK100" s="162"/>
      <c r="CL100" s="162"/>
      <c r="CM100" s="162"/>
      <c r="CN100" s="162"/>
      <c r="CO100" s="162"/>
      <c r="CP100" s="162"/>
      <c r="CQ100" s="162"/>
      <c r="CR100" s="162"/>
      <c r="CS100" s="162"/>
      <c r="CT100" s="162"/>
    </row>
    <row r="101" spans="1:98" s="139" customFormat="1" ht="19.5" customHeight="1" x14ac:dyDescent="0.2">
      <c r="A101" s="171" t="s">
        <v>2</v>
      </c>
      <c r="B101" s="171" t="s">
        <v>299</v>
      </c>
      <c r="C101" s="321" t="s">
        <v>260</v>
      </c>
      <c r="D101" s="321"/>
      <c r="E101" s="321"/>
      <c r="F101" s="321"/>
      <c r="G101" s="321"/>
      <c r="H101" s="321"/>
    </row>
    <row r="102" spans="1:98" s="156" customFormat="1" ht="22.5" customHeight="1" x14ac:dyDescent="0.2">
      <c r="A102" s="197" t="s">
        <v>368</v>
      </c>
      <c r="B102" s="206" t="s">
        <v>261</v>
      </c>
      <c r="C102" s="322" t="s">
        <v>262</v>
      </c>
      <c r="D102" s="322"/>
      <c r="E102" s="322"/>
      <c r="F102" s="322"/>
      <c r="G102" s="140" t="s">
        <v>210</v>
      </c>
      <c r="H102" s="141">
        <f>197*0.5*2</f>
        <v>197</v>
      </c>
    </row>
    <row r="103" spans="1:98" s="139" customFormat="1" ht="45" customHeight="1" x14ac:dyDescent="0.2">
      <c r="A103" s="245"/>
      <c r="B103" s="246"/>
      <c r="C103" s="323" t="s">
        <v>314</v>
      </c>
      <c r="D103" s="323"/>
      <c r="E103" s="323"/>
      <c r="F103" s="323"/>
      <c r="G103" s="149" t="s">
        <v>2</v>
      </c>
      <c r="H103" s="150" t="s">
        <v>2</v>
      </c>
    </row>
    <row r="104" spans="1:98" s="139" customFormat="1" ht="33" customHeight="1" x14ac:dyDescent="0.2">
      <c r="A104" s="189" t="s">
        <v>350</v>
      </c>
      <c r="B104" s="195" t="s">
        <v>345</v>
      </c>
      <c r="C104" s="319" t="s">
        <v>417</v>
      </c>
      <c r="D104" s="319"/>
      <c r="E104" s="319"/>
      <c r="F104" s="319"/>
      <c r="G104" s="140" t="s">
        <v>210</v>
      </c>
      <c r="H104" s="141">
        <f>2*6.85</f>
        <v>13.7</v>
      </c>
    </row>
    <row r="105" spans="1:98" s="139" customFormat="1" ht="58.5" customHeight="1" x14ac:dyDescent="0.2">
      <c r="A105" s="231"/>
      <c r="B105" s="218"/>
      <c r="C105" s="318" t="s">
        <v>418</v>
      </c>
      <c r="D105" s="318"/>
      <c r="E105" s="318"/>
      <c r="F105" s="318"/>
      <c r="G105" s="149" t="s">
        <v>2</v>
      </c>
      <c r="H105" s="150" t="s">
        <v>2</v>
      </c>
    </row>
    <row r="106" spans="1:98" s="139" customFormat="1" ht="33" customHeight="1" x14ac:dyDescent="0.2">
      <c r="A106" s="189" t="s">
        <v>369</v>
      </c>
      <c r="B106" s="191" t="s">
        <v>347</v>
      </c>
      <c r="C106" s="328" t="s">
        <v>348</v>
      </c>
      <c r="D106" s="328"/>
      <c r="E106" s="328"/>
      <c r="F106" s="328"/>
      <c r="G106" s="188" t="s">
        <v>217</v>
      </c>
      <c r="H106" s="204">
        <v>3</v>
      </c>
      <c r="I106" s="165"/>
    </row>
    <row r="107" spans="1:98" s="139" customFormat="1" ht="50.25" customHeight="1" x14ac:dyDescent="0.2">
      <c r="A107" s="189"/>
      <c r="B107" s="191"/>
      <c r="C107" s="329" t="s">
        <v>419</v>
      </c>
      <c r="D107" s="330"/>
      <c r="E107" s="330"/>
      <c r="F107" s="331"/>
      <c r="G107" s="188"/>
      <c r="H107" s="204"/>
      <c r="I107" s="165"/>
    </row>
    <row r="108" spans="1:98" s="139" customFormat="1" ht="22.5" customHeight="1" x14ac:dyDescent="0.2">
      <c r="A108" s="171" t="s">
        <v>2</v>
      </c>
      <c r="B108" s="171" t="s">
        <v>263</v>
      </c>
      <c r="C108" s="321" t="s">
        <v>264</v>
      </c>
      <c r="D108" s="321"/>
      <c r="E108" s="321"/>
      <c r="F108" s="321"/>
      <c r="G108" s="321"/>
      <c r="H108" s="321"/>
    </row>
    <row r="109" spans="1:98" s="139" customFormat="1" ht="24.75" customHeight="1" x14ac:dyDescent="0.2">
      <c r="A109" s="197" t="s">
        <v>370</v>
      </c>
      <c r="B109" s="197" t="s">
        <v>265</v>
      </c>
      <c r="C109" s="322" t="s">
        <v>378</v>
      </c>
      <c r="D109" s="322"/>
      <c r="E109" s="322"/>
      <c r="F109" s="322"/>
      <c r="G109" s="140" t="s">
        <v>210</v>
      </c>
      <c r="H109" s="141">
        <f>197*0.5+6*2*3.5*0.5</f>
        <v>119.5</v>
      </c>
    </row>
    <row r="110" spans="1:98" s="139" customFormat="1" ht="65.25" customHeight="1" x14ac:dyDescent="0.2">
      <c r="A110" s="230"/>
      <c r="B110" s="216"/>
      <c r="C110" s="332" t="s">
        <v>414</v>
      </c>
      <c r="D110" s="333"/>
      <c r="E110" s="333"/>
      <c r="F110" s="334"/>
      <c r="G110" s="121" t="s">
        <v>2</v>
      </c>
      <c r="H110" s="121" t="s">
        <v>2</v>
      </c>
    </row>
    <row r="111" spans="1:98" s="156" customFormat="1" ht="22.5" hidden="1" customHeight="1" x14ac:dyDescent="0.2">
      <c r="A111" s="317" t="s">
        <v>275</v>
      </c>
      <c r="B111" s="317"/>
      <c r="C111" s="317"/>
      <c r="D111" s="317"/>
      <c r="E111" s="317"/>
      <c r="F111" s="317"/>
      <c r="G111" s="317"/>
      <c r="H111" s="317"/>
    </row>
    <row r="112" spans="1:98" s="156" customFormat="1" ht="34.5" customHeight="1" x14ac:dyDescent="0.2">
      <c r="A112" s="198" t="s">
        <v>21</v>
      </c>
      <c r="B112" s="198" t="s">
        <v>267</v>
      </c>
      <c r="C112" s="320" t="s">
        <v>268</v>
      </c>
      <c r="D112" s="320"/>
      <c r="E112" s="320"/>
      <c r="F112" s="320"/>
      <c r="G112" s="320"/>
      <c r="H112" s="320"/>
    </row>
    <row r="113" spans="1:8" s="156" customFormat="1" ht="21.75" customHeight="1" x14ac:dyDescent="0.2">
      <c r="A113" s="171" t="s">
        <v>2</v>
      </c>
      <c r="B113" s="171" t="s">
        <v>269</v>
      </c>
      <c r="C113" s="321" t="s">
        <v>270</v>
      </c>
      <c r="D113" s="321"/>
      <c r="E113" s="321"/>
      <c r="F113" s="321"/>
      <c r="G113" s="321"/>
      <c r="H113" s="321"/>
    </row>
    <row r="114" spans="1:8" s="156" customFormat="1" ht="26.25" customHeight="1" x14ac:dyDescent="0.2">
      <c r="A114" s="191" t="s">
        <v>371</v>
      </c>
      <c r="B114" s="205" t="s">
        <v>311</v>
      </c>
      <c r="C114" s="326" t="s">
        <v>312</v>
      </c>
      <c r="D114" s="326"/>
      <c r="E114" s="326"/>
      <c r="F114" s="326"/>
      <c r="G114" s="140" t="s">
        <v>218</v>
      </c>
      <c r="H114" s="141">
        <v>1</v>
      </c>
    </row>
    <row r="115" spans="1:8" s="156" customFormat="1" ht="30.75" customHeight="1" x14ac:dyDescent="0.2">
      <c r="A115" s="207"/>
      <c r="B115" s="207"/>
      <c r="C115" s="318" t="s">
        <v>409</v>
      </c>
      <c r="D115" s="327"/>
      <c r="E115" s="327"/>
      <c r="F115" s="327"/>
      <c r="G115" s="149" t="s">
        <v>2</v>
      </c>
      <c r="H115" s="150" t="s">
        <v>2</v>
      </c>
    </row>
    <row r="116" spans="1:8" s="156" customFormat="1" ht="24" customHeight="1" x14ac:dyDescent="0.2">
      <c r="A116" s="207" t="s">
        <v>372</v>
      </c>
      <c r="B116" s="195" t="s">
        <v>313</v>
      </c>
      <c r="C116" s="326" t="s">
        <v>349</v>
      </c>
      <c r="D116" s="326"/>
      <c r="E116" s="326"/>
      <c r="F116" s="326"/>
      <c r="G116" s="140" t="s">
        <v>218</v>
      </c>
      <c r="H116" s="141">
        <v>1</v>
      </c>
    </row>
    <row r="117" spans="1:8" s="156" customFormat="1" ht="31.5" customHeight="1" x14ac:dyDescent="0.2">
      <c r="A117" s="207"/>
      <c r="B117" s="207"/>
      <c r="C117" s="324" t="s">
        <v>403</v>
      </c>
      <c r="D117" s="324"/>
      <c r="E117" s="324"/>
      <c r="F117" s="324"/>
      <c r="G117" s="149" t="s">
        <v>2</v>
      </c>
      <c r="H117" s="150" t="s">
        <v>2</v>
      </c>
    </row>
    <row r="118" spans="1:8" s="156" customFormat="1" ht="41.25" customHeight="1" x14ac:dyDescent="0.2">
      <c r="A118" s="171" t="s">
        <v>2</v>
      </c>
      <c r="B118" s="171" t="s">
        <v>271</v>
      </c>
      <c r="C118" s="325" t="s">
        <v>272</v>
      </c>
      <c r="D118" s="325"/>
      <c r="E118" s="325"/>
      <c r="F118" s="325"/>
      <c r="G118" s="325"/>
      <c r="H118" s="325"/>
    </row>
    <row r="119" spans="1:8" s="156" customFormat="1" ht="26.25" customHeight="1" x14ac:dyDescent="0.2">
      <c r="A119" s="232" t="s">
        <v>373</v>
      </c>
      <c r="B119" s="205" t="s">
        <v>274</v>
      </c>
      <c r="C119" s="319" t="s">
        <v>410</v>
      </c>
      <c r="D119" s="319"/>
      <c r="E119" s="319"/>
      <c r="F119" s="319"/>
      <c r="G119" s="178" t="s">
        <v>217</v>
      </c>
      <c r="H119" s="179">
        <v>12</v>
      </c>
    </row>
    <row r="120" spans="1:8" s="156" customFormat="1" ht="51" customHeight="1" x14ac:dyDescent="0.2">
      <c r="A120" s="242"/>
      <c r="B120" s="240"/>
      <c r="C120" s="318" t="s">
        <v>415</v>
      </c>
      <c r="D120" s="318"/>
      <c r="E120" s="318"/>
      <c r="F120" s="318"/>
      <c r="G120" s="243" t="s">
        <v>2</v>
      </c>
      <c r="H120" s="244" t="s">
        <v>2</v>
      </c>
    </row>
    <row r="121" spans="1:8" s="156" customFormat="1" ht="31.5" hidden="1" customHeight="1" x14ac:dyDescent="0.2">
      <c r="A121" s="317" t="s">
        <v>280</v>
      </c>
      <c r="B121" s="317"/>
      <c r="C121" s="317"/>
      <c r="D121" s="317"/>
      <c r="E121" s="317"/>
      <c r="F121" s="317"/>
      <c r="G121" s="317"/>
      <c r="H121" s="317"/>
    </row>
    <row r="122" spans="1:8" s="156" customFormat="1" ht="33" customHeight="1" x14ac:dyDescent="0.2">
      <c r="A122" s="198" t="s">
        <v>1</v>
      </c>
      <c r="B122" s="198" t="s">
        <v>276</v>
      </c>
      <c r="C122" s="320" t="s">
        <v>277</v>
      </c>
      <c r="D122" s="320"/>
      <c r="E122" s="320"/>
      <c r="F122" s="320"/>
      <c r="G122" s="320"/>
      <c r="H122" s="320"/>
    </row>
    <row r="123" spans="1:8" s="156" customFormat="1" ht="16.5" hidden="1" customHeight="1" x14ac:dyDescent="0.2">
      <c r="A123" s="214"/>
      <c r="B123" s="216"/>
      <c r="C123" s="148" t="s">
        <v>278</v>
      </c>
      <c r="D123" s="149" t="s">
        <v>217</v>
      </c>
      <c r="E123" s="150">
        <f>'[1]2. Roboty rozbiórkowe '!E19*0.8</f>
        <v>85.2</v>
      </c>
      <c r="F123" s="141" t="s">
        <v>2</v>
      </c>
      <c r="G123" s="157"/>
      <c r="H123" s="157"/>
    </row>
    <row r="124" spans="1:8" s="139" customFormat="1" ht="18" customHeight="1" x14ac:dyDescent="0.2">
      <c r="A124" s="171" t="s">
        <v>2</v>
      </c>
      <c r="B124" s="171" t="s">
        <v>302</v>
      </c>
      <c r="C124" s="321" t="s">
        <v>303</v>
      </c>
      <c r="D124" s="321"/>
      <c r="E124" s="321"/>
      <c r="F124" s="321"/>
      <c r="G124" s="321" t="s">
        <v>273</v>
      </c>
      <c r="H124" s="321"/>
    </row>
    <row r="125" spans="1:8" s="139" customFormat="1" ht="33.75" customHeight="1" x14ac:dyDescent="0.2">
      <c r="A125" s="197" t="s">
        <v>374</v>
      </c>
      <c r="B125" s="215" t="s">
        <v>304</v>
      </c>
      <c r="C125" s="322" t="s">
        <v>305</v>
      </c>
      <c r="D125" s="322"/>
      <c r="E125" s="322"/>
      <c r="F125" s="322"/>
      <c r="G125" s="140" t="s">
        <v>217</v>
      </c>
      <c r="H125" s="141">
        <v>10</v>
      </c>
    </row>
    <row r="126" spans="1:8" s="139" customFormat="1" ht="55.5" customHeight="1" x14ac:dyDescent="0.2">
      <c r="A126" s="197"/>
      <c r="B126" s="206"/>
      <c r="C126" s="323" t="s">
        <v>416</v>
      </c>
      <c r="D126" s="323"/>
      <c r="E126" s="323"/>
      <c r="F126" s="323"/>
      <c r="G126" s="149" t="s">
        <v>2</v>
      </c>
      <c r="H126" s="150" t="s">
        <v>2</v>
      </c>
    </row>
    <row r="127" spans="1:8" s="139" customFormat="1" ht="24.75" customHeight="1" x14ac:dyDescent="0.2">
      <c r="A127" s="171" t="s">
        <v>2</v>
      </c>
      <c r="B127" s="208" t="s">
        <v>308</v>
      </c>
      <c r="C127" s="321" t="s">
        <v>309</v>
      </c>
      <c r="D127" s="321"/>
      <c r="E127" s="321"/>
      <c r="F127" s="321"/>
      <c r="G127" s="321" t="s">
        <v>273</v>
      </c>
      <c r="H127" s="321"/>
    </row>
    <row r="128" spans="1:8" s="139" customFormat="1" ht="24.75" customHeight="1" x14ac:dyDescent="0.2">
      <c r="A128" s="197" t="s">
        <v>375</v>
      </c>
      <c r="B128" s="215" t="s">
        <v>310</v>
      </c>
      <c r="C128" s="319" t="s">
        <v>384</v>
      </c>
      <c r="D128" s="319"/>
      <c r="E128" s="319"/>
      <c r="F128" s="319"/>
      <c r="G128" s="140" t="s">
        <v>217</v>
      </c>
      <c r="H128" s="141">
        <f>197-10-36</f>
        <v>151</v>
      </c>
    </row>
    <row r="129" spans="1:173" s="139" customFormat="1" ht="49.5" customHeight="1" x14ac:dyDescent="0.2">
      <c r="A129" s="197"/>
      <c r="B129" s="206"/>
      <c r="C129" s="318" t="s">
        <v>411</v>
      </c>
      <c r="D129" s="318"/>
      <c r="E129" s="318"/>
      <c r="F129" s="318"/>
      <c r="G129" s="149" t="s">
        <v>2</v>
      </c>
      <c r="H129" s="150" t="s">
        <v>2</v>
      </c>
    </row>
    <row r="130" spans="1:173" s="139" customFormat="1" ht="42" customHeight="1" x14ac:dyDescent="0.2">
      <c r="A130" s="197" t="s">
        <v>379</v>
      </c>
      <c r="B130" s="215" t="s">
        <v>310</v>
      </c>
      <c r="C130" s="319" t="s">
        <v>385</v>
      </c>
      <c r="D130" s="319"/>
      <c r="E130" s="319"/>
      <c r="F130" s="319"/>
      <c r="G130" s="140" t="s">
        <v>217</v>
      </c>
      <c r="H130" s="141">
        <v>36</v>
      </c>
    </row>
    <row r="131" spans="1:173" s="139" customFormat="1" ht="42" customHeight="1" x14ac:dyDescent="0.2">
      <c r="A131" s="197"/>
      <c r="B131" s="215"/>
      <c r="C131" s="318" t="s">
        <v>412</v>
      </c>
      <c r="D131" s="318"/>
      <c r="E131" s="318"/>
      <c r="F131" s="318"/>
      <c r="G131" s="149" t="s">
        <v>2</v>
      </c>
      <c r="H131" s="150" t="s">
        <v>2</v>
      </c>
    </row>
    <row r="132" spans="1:173" ht="35.1" hidden="1" customHeight="1" x14ac:dyDescent="0.2">
      <c r="A132" s="317" t="s">
        <v>281</v>
      </c>
      <c r="B132" s="317"/>
      <c r="C132" s="317"/>
      <c r="D132" s="317"/>
      <c r="E132" s="317"/>
      <c r="F132" s="317"/>
      <c r="G132" s="317"/>
      <c r="H132" s="317"/>
    </row>
    <row r="133" spans="1:173" ht="35.1" hidden="1" customHeight="1" x14ac:dyDescent="0.2">
      <c r="A133" s="314" t="s">
        <v>293</v>
      </c>
      <c r="B133" s="314"/>
      <c r="C133" s="314"/>
      <c r="D133" s="314"/>
      <c r="E133" s="314"/>
      <c r="F133" s="314"/>
      <c r="G133" s="314"/>
      <c r="H133" s="314"/>
    </row>
    <row r="134" spans="1:173" ht="33" hidden="1" customHeight="1" x14ac:dyDescent="0.2">
      <c r="A134" s="317" t="s">
        <v>294</v>
      </c>
      <c r="B134" s="317"/>
      <c r="C134" s="317"/>
      <c r="D134" s="317"/>
      <c r="E134" s="317"/>
      <c r="F134" s="317"/>
      <c r="G134" s="317"/>
      <c r="H134" s="317"/>
    </row>
    <row r="135" spans="1:173" ht="33" hidden="1" customHeight="1" x14ac:dyDescent="0.2">
      <c r="A135" s="314" t="s">
        <v>295</v>
      </c>
      <c r="B135" s="314"/>
      <c r="C135" s="314"/>
      <c r="D135" s="314"/>
      <c r="E135" s="314"/>
      <c r="F135" s="314"/>
      <c r="G135" s="314"/>
      <c r="H135" s="314"/>
    </row>
    <row r="136" spans="1:173" ht="35.1" hidden="1" customHeight="1" x14ac:dyDescent="0.2">
      <c r="A136" s="365" t="s">
        <v>386</v>
      </c>
      <c r="B136" s="365"/>
      <c r="C136" s="365"/>
      <c r="D136" s="365"/>
      <c r="E136" s="365"/>
      <c r="F136" s="365"/>
      <c r="G136" s="365"/>
      <c r="H136" s="365"/>
    </row>
    <row r="137" spans="1:173" ht="35.1" hidden="1" customHeight="1" x14ac:dyDescent="0.2">
      <c r="A137" s="365" t="s">
        <v>282</v>
      </c>
      <c r="B137" s="365"/>
      <c r="C137" s="365"/>
      <c r="D137" s="365"/>
      <c r="E137" s="365"/>
      <c r="F137" s="365"/>
      <c r="G137" s="365"/>
      <c r="H137" s="365"/>
    </row>
    <row r="138" spans="1:173" ht="39.950000000000003" hidden="1" customHeight="1" x14ac:dyDescent="0.2">
      <c r="A138" s="365" t="s">
        <v>283</v>
      </c>
      <c r="B138" s="365"/>
      <c r="C138" s="365"/>
      <c r="D138" s="365"/>
      <c r="E138" s="365"/>
      <c r="F138" s="365"/>
      <c r="G138" s="365"/>
      <c r="H138" s="365"/>
    </row>
    <row r="139" spans="1:173" x14ac:dyDescent="0.2">
      <c r="F139" s="169"/>
    </row>
    <row r="140" spans="1:173" x14ac:dyDescent="0.2">
      <c r="F140" s="169"/>
    </row>
    <row r="141" spans="1:173" x14ac:dyDescent="0.2">
      <c r="F141" s="169"/>
      <c r="G141" s="117"/>
      <c r="H141" s="117"/>
    </row>
    <row r="142" spans="1:173" s="166" customFormat="1" x14ac:dyDescent="0.2">
      <c r="A142" s="201"/>
      <c r="B142" s="202"/>
      <c r="C142" s="123"/>
      <c r="D142" s="168"/>
      <c r="E142" s="169"/>
      <c r="F142" s="169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  <c r="R142" s="117"/>
      <c r="S142" s="117"/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  <c r="AD142" s="117"/>
      <c r="AE142" s="117"/>
      <c r="AF142" s="117"/>
      <c r="AG142" s="117"/>
      <c r="AH142" s="117"/>
      <c r="AI142" s="117"/>
      <c r="AJ142" s="117"/>
      <c r="AK142" s="117"/>
      <c r="AL142" s="117"/>
      <c r="AM142" s="117"/>
      <c r="AN142" s="117"/>
      <c r="AO142" s="117"/>
      <c r="AP142" s="117"/>
      <c r="AQ142" s="117"/>
      <c r="AR142" s="117"/>
      <c r="AS142" s="117"/>
      <c r="AT142" s="117"/>
      <c r="AU142" s="117"/>
      <c r="AV142" s="117"/>
      <c r="AW142" s="117"/>
      <c r="AX142" s="117"/>
      <c r="AY142" s="117"/>
      <c r="AZ142" s="117"/>
      <c r="BA142" s="117"/>
      <c r="BB142" s="117"/>
      <c r="BC142" s="117"/>
      <c r="BD142" s="117"/>
      <c r="BE142" s="117"/>
      <c r="BF142" s="117"/>
      <c r="BG142" s="117"/>
      <c r="BH142" s="117"/>
      <c r="BI142" s="117"/>
      <c r="BJ142" s="117"/>
      <c r="BK142" s="117"/>
      <c r="BL142" s="117"/>
      <c r="BM142" s="117"/>
      <c r="BN142" s="117"/>
      <c r="BO142" s="117"/>
      <c r="BP142" s="117"/>
      <c r="BQ142" s="117"/>
      <c r="BR142" s="117"/>
      <c r="BS142" s="117"/>
      <c r="BT142" s="117"/>
      <c r="BU142" s="117"/>
      <c r="BV142" s="117"/>
      <c r="BW142" s="117"/>
      <c r="BX142" s="117"/>
      <c r="BY142" s="117"/>
      <c r="BZ142" s="117"/>
      <c r="CA142" s="117"/>
      <c r="CB142" s="117"/>
      <c r="CC142" s="117"/>
      <c r="CD142" s="117"/>
      <c r="CE142" s="117"/>
      <c r="CF142" s="117"/>
      <c r="CG142" s="117"/>
      <c r="CH142" s="117"/>
      <c r="CI142" s="117"/>
      <c r="CJ142" s="117"/>
      <c r="CK142" s="117"/>
      <c r="CL142" s="117"/>
      <c r="CM142" s="117"/>
      <c r="CN142" s="117"/>
      <c r="CO142" s="117"/>
      <c r="CP142" s="117"/>
      <c r="CQ142" s="117"/>
      <c r="CR142" s="117"/>
      <c r="CS142" s="117"/>
      <c r="CT142" s="117"/>
      <c r="CU142" s="117"/>
      <c r="CV142" s="117"/>
      <c r="CW142" s="117"/>
      <c r="CX142" s="117"/>
      <c r="CY142" s="117"/>
      <c r="CZ142" s="117"/>
      <c r="DA142" s="117"/>
      <c r="DB142" s="117"/>
      <c r="DC142" s="117"/>
      <c r="DD142" s="117"/>
      <c r="DE142" s="117"/>
      <c r="DF142" s="117"/>
      <c r="DG142" s="117"/>
      <c r="DH142" s="117"/>
      <c r="DI142" s="117"/>
      <c r="DJ142" s="117"/>
      <c r="DK142" s="117"/>
      <c r="DL142" s="117"/>
      <c r="DM142" s="117"/>
      <c r="DN142" s="117"/>
      <c r="DO142" s="117"/>
      <c r="DP142" s="117"/>
      <c r="DQ142" s="117"/>
      <c r="DR142" s="117"/>
      <c r="DS142" s="117"/>
      <c r="DT142" s="117"/>
      <c r="DU142" s="117"/>
      <c r="DV142" s="117"/>
      <c r="DW142" s="117"/>
      <c r="DX142" s="117"/>
      <c r="DY142" s="117"/>
      <c r="DZ142" s="117"/>
      <c r="EA142" s="117"/>
      <c r="EB142" s="117"/>
      <c r="EC142" s="117"/>
      <c r="ED142" s="117"/>
      <c r="EE142" s="117"/>
      <c r="EF142" s="117"/>
      <c r="EG142" s="117"/>
      <c r="EH142" s="117"/>
      <c r="EI142" s="117"/>
      <c r="EJ142" s="117"/>
      <c r="EK142" s="117"/>
      <c r="EL142" s="117"/>
      <c r="EM142" s="117"/>
      <c r="EN142" s="117"/>
      <c r="EO142" s="117"/>
      <c r="EP142" s="117"/>
      <c r="EQ142" s="117"/>
      <c r="ER142" s="117"/>
      <c r="ES142" s="117"/>
      <c r="ET142" s="117"/>
      <c r="EU142" s="117"/>
      <c r="EV142" s="117"/>
      <c r="EW142" s="117"/>
      <c r="EX142" s="117"/>
      <c r="EY142" s="117"/>
      <c r="EZ142" s="117"/>
      <c r="FA142" s="117"/>
      <c r="FB142" s="117"/>
      <c r="FC142" s="117"/>
      <c r="FD142" s="117"/>
      <c r="FE142" s="117"/>
      <c r="FF142" s="117"/>
      <c r="FG142" s="117"/>
      <c r="FH142" s="117"/>
      <c r="FI142" s="117"/>
      <c r="FJ142" s="117"/>
      <c r="FK142" s="117"/>
      <c r="FL142" s="117"/>
      <c r="FM142" s="117"/>
      <c r="FN142" s="117"/>
      <c r="FO142" s="117"/>
      <c r="FP142" s="117"/>
      <c r="FQ142" s="117"/>
    </row>
    <row r="143" spans="1:173" s="166" customFormat="1" x14ac:dyDescent="0.2">
      <c r="A143" s="201"/>
      <c r="B143" s="202"/>
      <c r="C143" s="123"/>
      <c r="D143" s="168"/>
      <c r="E143" s="169"/>
      <c r="F143" s="169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7"/>
      <c r="U143" s="117"/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/>
      <c r="AP143" s="117"/>
      <c r="AQ143" s="117"/>
      <c r="AR143" s="117"/>
      <c r="AS143" s="117"/>
      <c r="AT143" s="117"/>
      <c r="AU143" s="117"/>
      <c r="AV143" s="117"/>
      <c r="AW143" s="117"/>
      <c r="AX143" s="117"/>
      <c r="AY143" s="117"/>
      <c r="AZ143" s="117"/>
      <c r="BA143" s="117"/>
      <c r="BB143" s="117"/>
      <c r="BC143" s="117"/>
      <c r="BD143" s="117"/>
      <c r="BE143" s="117"/>
      <c r="BF143" s="117"/>
      <c r="BG143" s="117"/>
      <c r="BH143" s="117"/>
      <c r="BI143" s="117"/>
      <c r="BJ143" s="117"/>
      <c r="BK143" s="117"/>
      <c r="BL143" s="117"/>
      <c r="BM143" s="117"/>
      <c r="BN143" s="117"/>
      <c r="BO143" s="117"/>
      <c r="BP143" s="117"/>
      <c r="BQ143" s="117"/>
      <c r="BR143" s="117"/>
      <c r="BS143" s="117"/>
      <c r="BT143" s="117"/>
      <c r="BU143" s="117"/>
      <c r="BV143" s="117"/>
      <c r="BW143" s="117"/>
      <c r="BX143" s="117"/>
      <c r="BY143" s="117"/>
      <c r="BZ143" s="117"/>
      <c r="CA143" s="117"/>
      <c r="CB143" s="117"/>
      <c r="CC143" s="117"/>
      <c r="CD143" s="117"/>
      <c r="CE143" s="117"/>
      <c r="CF143" s="117"/>
      <c r="CG143" s="117"/>
      <c r="CH143" s="117"/>
      <c r="CI143" s="117"/>
      <c r="CJ143" s="117"/>
      <c r="CK143" s="117"/>
      <c r="CL143" s="117"/>
      <c r="CM143" s="117"/>
      <c r="CN143" s="117"/>
      <c r="CO143" s="117"/>
      <c r="CP143" s="117"/>
      <c r="CQ143" s="117"/>
      <c r="CR143" s="117"/>
      <c r="CS143" s="117"/>
      <c r="CT143" s="117"/>
      <c r="CU143" s="117"/>
      <c r="CV143" s="117"/>
      <c r="CW143" s="117"/>
      <c r="CX143" s="117"/>
      <c r="CY143" s="117"/>
      <c r="CZ143" s="117"/>
      <c r="DA143" s="117"/>
      <c r="DB143" s="117"/>
      <c r="DC143" s="117"/>
      <c r="DD143" s="117"/>
      <c r="DE143" s="117"/>
      <c r="DF143" s="117"/>
      <c r="DG143" s="117"/>
      <c r="DH143" s="117"/>
      <c r="DI143" s="117"/>
      <c r="DJ143" s="117"/>
      <c r="DK143" s="117"/>
      <c r="DL143" s="117"/>
      <c r="DM143" s="117"/>
      <c r="DN143" s="117"/>
      <c r="DO143" s="117"/>
      <c r="DP143" s="117"/>
      <c r="DQ143" s="117"/>
      <c r="DR143" s="117"/>
      <c r="DS143" s="117"/>
      <c r="DT143" s="117"/>
      <c r="DU143" s="117"/>
      <c r="DV143" s="117"/>
      <c r="DW143" s="117"/>
      <c r="DX143" s="117"/>
      <c r="DY143" s="117"/>
      <c r="DZ143" s="117"/>
      <c r="EA143" s="117"/>
      <c r="EB143" s="117"/>
      <c r="EC143" s="117"/>
      <c r="ED143" s="117"/>
      <c r="EE143" s="117"/>
      <c r="EF143" s="117"/>
      <c r="EG143" s="117"/>
      <c r="EH143" s="117"/>
      <c r="EI143" s="117"/>
      <c r="EJ143" s="117"/>
      <c r="EK143" s="117"/>
      <c r="EL143" s="117"/>
      <c r="EM143" s="117"/>
      <c r="EN143" s="117"/>
      <c r="EO143" s="117"/>
      <c r="EP143" s="117"/>
      <c r="EQ143" s="117"/>
      <c r="ER143" s="117"/>
      <c r="ES143" s="117"/>
      <c r="ET143" s="117"/>
      <c r="EU143" s="117"/>
      <c r="EV143" s="117"/>
      <c r="EW143" s="117"/>
      <c r="EX143" s="117"/>
      <c r="EY143" s="117"/>
      <c r="EZ143" s="117"/>
      <c r="FA143" s="117"/>
      <c r="FB143" s="117"/>
      <c r="FC143" s="117"/>
      <c r="FD143" s="117"/>
      <c r="FE143" s="117"/>
      <c r="FF143" s="117"/>
      <c r="FG143" s="117"/>
      <c r="FH143" s="117"/>
      <c r="FI143" s="117"/>
      <c r="FJ143" s="117"/>
      <c r="FK143" s="117"/>
      <c r="FL143" s="117"/>
      <c r="FM143" s="117"/>
      <c r="FN143" s="117"/>
      <c r="FO143" s="117"/>
      <c r="FP143" s="117"/>
      <c r="FQ143" s="117"/>
    </row>
    <row r="144" spans="1:173" s="166" customFormat="1" x14ac:dyDescent="0.2">
      <c r="A144" s="201"/>
      <c r="B144" s="202"/>
      <c r="C144" s="123"/>
      <c r="D144" s="168"/>
      <c r="E144" s="169"/>
      <c r="F144" s="169"/>
      <c r="G144" s="117"/>
      <c r="H144" s="117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  <c r="S144" s="117"/>
      <c r="T144" s="117"/>
      <c r="U144" s="117"/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7"/>
      <c r="AH144" s="117"/>
      <c r="AI144" s="117"/>
      <c r="AJ144" s="117"/>
      <c r="AK144" s="117"/>
      <c r="AL144" s="117"/>
      <c r="AM144" s="117"/>
      <c r="AN144" s="117"/>
      <c r="AO144" s="117"/>
      <c r="AP144" s="117"/>
      <c r="AQ144" s="117"/>
      <c r="AR144" s="117"/>
      <c r="AS144" s="117"/>
      <c r="AT144" s="117"/>
      <c r="AU144" s="117"/>
      <c r="AV144" s="117"/>
      <c r="AW144" s="117"/>
      <c r="AX144" s="117"/>
      <c r="AY144" s="117"/>
      <c r="AZ144" s="117"/>
      <c r="BA144" s="117"/>
      <c r="BB144" s="117"/>
      <c r="BC144" s="117"/>
      <c r="BD144" s="117"/>
      <c r="BE144" s="117"/>
      <c r="BF144" s="117"/>
      <c r="BG144" s="117"/>
      <c r="BH144" s="117"/>
      <c r="BI144" s="117"/>
      <c r="BJ144" s="117"/>
      <c r="BK144" s="117"/>
      <c r="BL144" s="117"/>
      <c r="BM144" s="117"/>
      <c r="BN144" s="117"/>
      <c r="BO144" s="117"/>
      <c r="BP144" s="117"/>
      <c r="BQ144" s="117"/>
      <c r="BR144" s="117"/>
      <c r="BS144" s="117"/>
      <c r="BT144" s="117"/>
      <c r="BU144" s="117"/>
      <c r="BV144" s="117"/>
      <c r="BW144" s="117"/>
      <c r="BX144" s="117"/>
      <c r="BY144" s="117"/>
      <c r="BZ144" s="117"/>
      <c r="CA144" s="117"/>
      <c r="CB144" s="117"/>
      <c r="CC144" s="117"/>
      <c r="CD144" s="117"/>
      <c r="CE144" s="117"/>
      <c r="CF144" s="117"/>
      <c r="CG144" s="117"/>
      <c r="CH144" s="117"/>
      <c r="CI144" s="117"/>
      <c r="CJ144" s="117"/>
      <c r="CK144" s="117"/>
      <c r="CL144" s="117"/>
      <c r="CM144" s="117"/>
      <c r="CN144" s="117"/>
      <c r="CO144" s="117"/>
      <c r="CP144" s="117"/>
      <c r="CQ144" s="117"/>
      <c r="CR144" s="117"/>
      <c r="CS144" s="117"/>
      <c r="CT144" s="117"/>
      <c r="CU144" s="117"/>
      <c r="CV144" s="117"/>
      <c r="CW144" s="117"/>
      <c r="CX144" s="117"/>
      <c r="CY144" s="117"/>
      <c r="CZ144" s="117"/>
      <c r="DA144" s="117"/>
      <c r="DB144" s="117"/>
      <c r="DC144" s="117"/>
      <c r="DD144" s="117"/>
      <c r="DE144" s="117"/>
      <c r="DF144" s="117"/>
      <c r="DG144" s="117"/>
      <c r="DH144" s="117"/>
      <c r="DI144" s="117"/>
      <c r="DJ144" s="117"/>
      <c r="DK144" s="117"/>
      <c r="DL144" s="117"/>
      <c r="DM144" s="117"/>
      <c r="DN144" s="117"/>
      <c r="DO144" s="117"/>
      <c r="DP144" s="117"/>
      <c r="DQ144" s="117"/>
      <c r="DR144" s="117"/>
      <c r="DS144" s="117"/>
      <c r="DT144" s="117"/>
      <c r="DU144" s="117"/>
      <c r="DV144" s="117"/>
      <c r="DW144" s="117"/>
      <c r="DX144" s="117"/>
      <c r="DY144" s="117"/>
      <c r="DZ144" s="117"/>
      <c r="EA144" s="117"/>
      <c r="EB144" s="117"/>
      <c r="EC144" s="117"/>
      <c r="ED144" s="117"/>
      <c r="EE144" s="117"/>
      <c r="EF144" s="117"/>
      <c r="EG144" s="117"/>
      <c r="EH144" s="117"/>
      <c r="EI144" s="117"/>
      <c r="EJ144" s="117"/>
      <c r="EK144" s="117"/>
      <c r="EL144" s="117"/>
      <c r="EM144" s="117"/>
      <c r="EN144" s="117"/>
      <c r="EO144" s="117"/>
      <c r="EP144" s="117"/>
      <c r="EQ144" s="117"/>
      <c r="ER144" s="117"/>
      <c r="ES144" s="117"/>
      <c r="ET144" s="117"/>
      <c r="EU144" s="117"/>
      <c r="EV144" s="117"/>
      <c r="EW144" s="117"/>
      <c r="EX144" s="117"/>
      <c r="EY144" s="117"/>
      <c r="EZ144" s="117"/>
      <c r="FA144" s="117"/>
      <c r="FB144" s="117"/>
      <c r="FC144" s="117"/>
      <c r="FD144" s="117"/>
      <c r="FE144" s="117"/>
      <c r="FF144" s="117"/>
      <c r="FG144" s="117"/>
      <c r="FH144" s="117"/>
      <c r="FI144" s="117"/>
      <c r="FJ144" s="117"/>
      <c r="FK144" s="117"/>
      <c r="FL144" s="117"/>
      <c r="FM144" s="117"/>
      <c r="FN144" s="117"/>
      <c r="FO144" s="117"/>
      <c r="FP144" s="117"/>
      <c r="FQ144" s="117"/>
    </row>
    <row r="145" spans="1:173" s="166" customFormat="1" x14ac:dyDescent="0.2">
      <c r="A145" s="201"/>
      <c r="B145" s="202"/>
      <c r="C145" s="123"/>
      <c r="D145" s="168"/>
      <c r="E145" s="169"/>
      <c r="F145" s="169"/>
      <c r="G145" s="117"/>
      <c r="H145" s="117"/>
      <c r="I145" s="117"/>
      <c r="J145" s="117"/>
      <c r="K145" s="117"/>
      <c r="L145" s="117"/>
      <c r="M145" s="117"/>
      <c r="N145" s="117"/>
      <c r="O145" s="117"/>
      <c r="P145" s="117"/>
      <c r="Q145" s="117"/>
      <c r="R145" s="117"/>
      <c r="S145" s="117"/>
      <c r="T145" s="117"/>
      <c r="U145" s="117"/>
      <c r="V145" s="117"/>
      <c r="W145" s="117"/>
      <c r="X145" s="117"/>
      <c r="Y145" s="117"/>
      <c r="Z145" s="117"/>
      <c r="AA145" s="117"/>
      <c r="AB145" s="117"/>
      <c r="AC145" s="117"/>
      <c r="AD145" s="117"/>
      <c r="AE145" s="117"/>
      <c r="AF145" s="117"/>
      <c r="AG145" s="117"/>
      <c r="AH145" s="117"/>
      <c r="AI145" s="117"/>
      <c r="AJ145" s="117"/>
      <c r="AK145" s="117"/>
      <c r="AL145" s="117"/>
      <c r="AM145" s="117"/>
      <c r="AN145" s="117"/>
      <c r="AO145" s="117"/>
      <c r="AP145" s="117"/>
      <c r="AQ145" s="117"/>
      <c r="AR145" s="117"/>
      <c r="AS145" s="117"/>
      <c r="AT145" s="117"/>
      <c r="AU145" s="117"/>
      <c r="AV145" s="117"/>
      <c r="AW145" s="117"/>
      <c r="AX145" s="117"/>
      <c r="AY145" s="117"/>
      <c r="AZ145" s="117"/>
      <c r="BA145" s="117"/>
      <c r="BB145" s="117"/>
      <c r="BC145" s="117"/>
      <c r="BD145" s="117"/>
      <c r="BE145" s="117"/>
      <c r="BF145" s="117"/>
      <c r="BG145" s="117"/>
      <c r="BH145" s="117"/>
      <c r="BI145" s="117"/>
      <c r="BJ145" s="117"/>
      <c r="BK145" s="117"/>
      <c r="BL145" s="117"/>
      <c r="BM145" s="117"/>
      <c r="BN145" s="117"/>
      <c r="BO145" s="117"/>
      <c r="BP145" s="117"/>
      <c r="BQ145" s="117"/>
      <c r="BR145" s="117"/>
      <c r="BS145" s="117"/>
      <c r="BT145" s="117"/>
      <c r="BU145" s="117"/>
      <c r="BV145" s="117"/>
      <c r="BW145" s="117"/>
      <c r="BX145" s="117"/>
      <c r="BY145" s="117"/>
      <c r="BZ145" s="117"/>
      <c r="CA145" s="117"/>
      <c r="CB145" s="117"/>
      <c r="CC145" s="117"/>
      <c r="CD145" s="117"/>
      <c r="CE145" s="117"/>
      <c r="CF145" s="117"/>
      <c r="CG145" s="117"/>
      <c r="CH145" s="117"/>
      <c r="CI145" s="117"/>
      <c r="CJ145" s="117"/>
      <c r="CK145" s="117"/>
      <c r="CL145" s="117"/>
      <c r="CM145" s="117"/>
      <c r="CN145" s="117"/>
      <c r="CO145" s="117"/>
      <c r="CP145" s="117"/>
      <c r="CQ145" s="117"/>
      <c r="CR145" s="117"/>
      <c r="CS145" s="117"/>
      <c r="CT145" s="117"/>
      <c r="CU145" s="117"/>
      <c r="CV145" s="117"/>
      <c r="CW145" s="117"/>
      <c r="CX145" s="117"/>
      <c r="CY145" s="117"/>
      <c r="CZ145" s="117"/>
      <c r="DA145" s="117"/>
      <c r="DB145" s="117"/>
      <c r="DC145" s="117"/>
      <c r="DD145" s="117"/>
      <c r="DE145" s="117"/>
      <c r="DF145" s="117"/>
      <c r="DG145" s="117"/>
      <c r="DH145" s="117"/>
      <c r="DI145" s="117"/>
      <c r="DJ145" s="117"/>
      <c r="DK145" s="117"/>
      <c r="DL145" s="117"/>
      <c r="DM145" s="117"/>
      <c r="DN145" s="117"/>
      <c r="DO145" s="117"/>
      <c r="DP145" s="117"/>
      <c r="DQ145" s="117"/>
      <c r="DR145" s="117"/>
      <c r="DS145" s="117"/>
      <c r="DT145" s="117"/>
      <c r="DU145" s="117"/>
      <c r="DV145" s="117"/>
      <c r="DW145" s="117"/>
      <c r="DX145" s="117"/>
      <c r="DY145" s="117"/>
      <c r="DZ145" s="117"/>
      <c r="EA145" s="117"/>
      <c r="EB145" s="117"/>
      <c r="EC145" s="117"/>
      <c r="ED145" s="117"/>
      <c r="EE145" s="117"/>
      <c r="EF145" s="117"/>
      <c r="EG145" s="117"/>
      <c r="EH145" s="117"/>
      <c r="EI145" s="117"/>
      <c r="EJ145" s="117"/>
      <c r="EK145" s="117"/>
      <c r="EL145" s="117"/>
      <c r="EM145" s="117"/>
      <c r="EN145" s="117"/>
      <c r="EO145" s="117"/>
      <c r="EP145" s="117"/>
      <c r="EQ145" s="117"/>
      <c r="ER145" s="117"/>
      <c r="ES145" s="117"/>
      <c r="ET145" s="117"/>
      <c r="EU145" s="117"/>
      <c r="EV145" s="117"/>
      <c r="EW145" s="117"/>
      <c r="EX145" s="117"/>
      <c r="EY145" s="117"/>
      <c r="EZ145" s="117"/>
      <c r="FA145" s="117"/>
      <c r="FB145" s="117"/>
      <c r="FC145" s="117"/>
      <c r="FD145" s="117"/>
      <c r="FE145" s="117"/>
      <c r="FF145" s="117"/>
      <c r="FG145" s="117"/>
      <c r="FH145" s="117"/>
      <c r="FI145" s="117"/>
      <c r="FJ145" s="117"/>
      <c r="FK145" s="117"/>
      <c r="FL145" s="117"/>
      <c r="FM145" s="117"/>
      <c r="FN145" s="117"/>
      <c r="FO145" s="117"/>
      <c r="FP145" s="117"/>
      <c r="FQ145" s="117"/>
    </row>
    <row r="146" spans="1:173" s="166" customFormat="1" x14ac:dyDescent="0.2">
      <c r="A146" s="201"/>
      <c r="B146" s="202"/>
      <c r="C146" s="123"/>
      <c r="D146" s="168"/>
      <c r="E146" s="169"/>
      <c r="F146" s="169"/>
      <c r="G146" s="117"/>
      <c r="H146" s="117"/>
      <c r="I146" s="117"/>
      <c r="J146" s="117"/>
      <c r="K146" s="117"/>
      <c r="L146" s="117"/>
      <c r="M146" s="117"/>
      <c r="N146" s="117"/>
      <c r="O146" s="117"/>
      <c r="P146" s="117"/>
      <c r="Q146" s="117"/>
      <c r="R146" s="117"/>
      <c r="S146" s="117"/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  <c r="AD146" s="117"/>
      <c r="AE146" s="117"/>
      <c r="AF146" s="117"/>
      <c r="AG146" s="117"/>
      <c r="AH146" s="117"/>
      <c r="AI146" s="117"/>
      <c r="AJ146" s="117"/>
      <c r="AK146" s="117"/>
      <c r="AL146" s="117"/>
      <c r="AM146" s="117"/>
      <c r="AN146" s="117"/>
      <c r="AO146" s="117"/>
      <c r="AP146" s="117"/>
      <c r="AQ146" s="117"/>
      <c r="AR146" s="117"/>
      <c r="AS146" s="117"/>
      <c r="AT146" s="117"/>
      <c r="AU146" s="117"/>
      <c r="AV146" s="117"/>
      <c r="AW146" s="117"/>
      <c r="AX146" s="117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117"/>
      <c r="BQ146" s="117"/>
      <c r="BR146" s="117"/>
      <c r="BS146" s="117"/>
      <c r="BT146" s="117"/>
      <c r="BU146" s="117"/>
      <c r="BV146" s="117"/>
      <c r="BW146" s="117"/>
      <c r="BX146" s="117"/>
      <c r="BY146" s="117"/>
      <c r="BZ146" s="117"/>
      <c r="CA146" s="117"/>
      <c r="CB146" s="117"/>
      <c r="CC146" s="117"/>
      <c r="CD146" s="117"/>
      <c r="CE146" s="117"/>
      <c r="CF146" s="117"/>
      <c r="CG146" s="117"/>
      <c r="CH146" s="117"/>
      <c r="CI146" s="117"/>
      <c r="CJ146" s="117"/>
      <c r="CK146" s="117"/>
      <c r="CL146" s="117"/>
      <c r="CM146" s="117"/>
      <c r="CN146" s="117"/>
      <c r="CO146" s="117"/>
      <c r="CP146" s="117"/>
      <c r="CQ146" s="117"/>
      <c r="CR146" s="117"/>
      <c r="CS146" s="117"/>
      <c r="CT146" s="117"/>
      <c r="CU146" s="117"/>
      <c r="CV146" s="117"/>
      <c r="CW146" s="117"/>
      <c r="CX146" s="117"/>
      <c r="CY146" s="117"/>
      <c r="CZ146" s="117"/>
      <c r="DA146" s="117"/>
      <c r="DB146" s="117"/>
      <c r="DC146" s="117"/>
      <c r="DD146" s="117"/>
      <c r="DE146" s="117"/>
      <c r="DF146" s="117"/>
      <c r="DG146" s="117"/>
      <c r="DH146" s="117"/>
      <c r="DI146" s="117"/>
      <c r="DJ146" s="117"/>
      <c r="DK146" s="117"/>
      <c r="DL146" s="117"/>
      <c r="DM146" s="117"/>
      <c r="DN146" s="117"/>
      <c r="DO146" s="117"/>
      <c r="DP146" s="117"/>
      <c r="DQ146" s="117"/>
      <c r="DR146" s="117"/>
      <c r="DS146" s="117"/>
      <c r="DT146" s="117"/>
      <c r="DU146" s="117"/>
      <c r="DV146" s="117"/>
      <c r="DW146" s="117"/>
      <c r="DX146" s="117"/>
      <c r="DY146" s="117"/>
      <c r="DZ146" s="117"/>
      <c r="EA146" s="117"/>
      <c r="EB146" s="117"/>
      <c r="EC146" s="117"/>
      <c r="ED146" s="117"/>
      <c r="EE146" s="117"/>
      <c r="EF146" s="117"/>
      <c r="EG146" s="117"/>
      <c r="EH146" s="117"/>
      <c r="EI146" s="117"/>
      <c r="EJ146" s="117"/>
      <c r="EK146" s="117"/>
      <c r="EL146" s="117"/>
      <c r="EM146" s="117"/>
      <c r="EN146" s="117"/>
      <c r="EO146" s="117"/>
      <c r="EP146" s="117"/>
      <c r="EQ146" s="117"/>
      <c r="ER146" s="117"/>
      <c r="ES146" s="117"/>
      <c r="ET146" s="117"/>
      <c r="EU146" s="117"/>
      <c r="EV146" s="117"/>
      <c r="EW146" s="117"/>
      <c r="EX146" s="117"/>
      <c r="EY146" s="117"/>
      <c r="EZ146" s="117"/>
      <c r="FA146" s="117"/>
      <c r="FB146" s="117"/>
      <c r="FC146" s="117"/>
      <c r="FD146" s="117"/>
      <c r="FE146" s="117"/>
      <c r="FF146" s="117"/>
      <c r="FG146" s="117"/>
      <c r="FH146" s="117"/>
      <c r="FI146" s="117"/>
      <c r="FJ146" s="117"/>
      <c r="FK146" s="117"/>
      <c r="FL146" s="117"/>
      <c r="FM146" s="117"/>
      <c r="FN146" s="117"/>
      <c r="FO146" s="117"/>
      <c r="FP146" s="117"/>
      <c r="FQ146" s="117"/>
    </row>
    <row r="147" spans="1:173" s="166" customFormat="1" x14ac:dyDescent="0.2">
      <c r="A147" s="201"/>
      <c r="B147" s="202"/>
      <c r="C147" s="123"/>
      <c r="D147" s="168"/>
      <c r="E147" s="169"/>
      <c r="F147" s="169"/>
      <c r="G147" s="117"/>
      <c r="H147" s="117"/>
      <c r="I147" s="117"/>
      <c r="J147" s="117"/>
      <c r="K147" s="117"/>
      <c r="L147" s="117"/>
      <c r="M147" s="117"/>
      <c r="N147" s="117"/>
      <c r="O147" s="117"/>
      <c r="P147" s="117"/>
      <c r="Q147" s="117"/>
      <c r="R147" s="117"/>
      <c r="S147" s="117"/>
      <c r="T147" s="117"/>
      <c r="U147" s="117"/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/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/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/>
      <c r="BJ147" s="117"/>
      <c r="BK147" s="117"/>
      <c r="BL147" s="117"/>
      <c r="BM147" s="117"/>
      <c r="BN147" s="117"/>
      <c r="BO147" s="117"/>
      <c r="BP147" s="117"/>
      <c r="BQ147" s="117"/>
      <c r="BR147" s="117"/>
      <c r="BS147" s="117"/>
      <c r="BT147" s="117"/>
      <c r="BU147" s="117"/>
      <c r="BV147" s="117"/>
      <c r="BW147" s="117"/>
      <c r="BX147" s="117"/>
      <c r="BY147" s="117"/>
      <c r="BZ147" s="117"/>
      <c r="CA147" s="117"/>
      <c r="CB147" s="117"/>
      <c r="CC147" s="117"/>
      <c r="CD147" s="117"/>
      <c r="CE147" s="117"/>
      <c r="CF147" s="117"/>
      <c r="CG147" s="117"/>
      <c r="CH147" s="117"/>
      <c r="CI147" s="117"/>
      <c r="CJ147" s="117"/>
      <c r="CK147" s="117"/>
      <c r="CL147" s="117"/>
      <c r="CM147" s="117"/>
      <c r="CN147" s="117"/>
      <c r="CO147" s="117"/>
      <c r="CP147" s="117"/>
      <c r="CQ147" s="117"/>
      <c r="CR147" s="117"/>
      <c r="CS147" s="117"/>
      <c r="CT147" s="117"/>
      <c r="CU147" s="117"/>
      <c r="CV147" s="117"/>
      <c r="CW147" s="117"/>
      <c r="CX147" s="117"/>
      <c r="CY147" s="117"/>
      <c r="CZ147" s="117"/>
      <c r="DA147" s="117"/>
      <c r="DB147" s="117"/>
      <c r="DC147" s="117"/>
      <c r="DD147" s="117"/>
      <c r="DE147" s="117"/>
      <c r="DF147" s="117"/>
      <c r="DG147" s="117"/>
      <c r="DH147" s="117"/>
      <c r="DI147" s="117"/>
      <c r="DJ147" s="117"/>
      <c r="DK147" s="117"/>
      <c r="DL147" s="117"/>
      <c r="DM147" s="117"/>
      <c r="DN147" s="117"/>
      <c r="DO147" s="117"/>
      <c r="DP147" s="117"/>
      <c r="DQ147" s="117"/>
      <c r="DR147" s="117"/>
      <c r="DS147" s="117"/>
      <c r="DT147" s="117"/>
      <c r="DU147" s="117"/>
      <c r="DV147" s="117"/>
      <c r="DW147" s="117"/>
      <c r="DX147" s="117"/>
      <c r="DY147" s="117"/>
      <c r="DZ147" s="117"/>
      <c r="EA147" s="117"/>
      <c r="EB147" s="117"/>
      <c r="EC147" s="117"/>
      <c r="ED147" s="117"/>
      <c r="EE147" s="117"/>
      <c r="EF147" s="117"/>
      <c r="EG147" s="117"/>
      <c r="EH147" s="117"/>
      <c r="EI147" s="117"/>
      <c r="EJ147" s="117"/>
      <c r="EK147" s="117"/>
      <c r="EL147" s="117"/>
      <c r="EM147" s="117"/>
      <c r="EN147" s="117"/>
      <c r="EO147" s="117"/>
      <c r="EP147" s="117"/>
      <c r="EQ147" s="117"/>
      <c r="ER147" s="117"/>
      <c r="ES147" s="117"/>
      <c r="ET147" s="117"/>
      <c r="EU147" s="117"/>
      <c r="EV147" s="117"/>
      <c r="EW147" s="117"/>
      <c r="EX147" s="117"/>
      <c r="EY147" s="117"/>
      <c r="EZ147" s="117"/>
      <c r="FA147" s="117"/>
      <c r="FB147" s="117"/>
      <c r="FC147" s="117"/>
      <c r="FD147" s="117"/>
      <c r="FE147" s="117"/>
      <c r="FF147" s="117"/>
      <c r="FG147" s="117"/>
      <c r="FH147" s="117"/>
      <c r="FI147" s="117"/>
      <c r="FJ147" s="117"/>
      <c r="FK147" s="117"/>
      <c r="FL147" s="117"/>
      <c r="FM147" s="117"/>
      <c r="FN147" s="117"/>
      <c r="FO147" s="117"/>
      <c r="FP147" s="117"/>
      <c r="FQ147" s="117"/>
    </row>
    <row r="148" spans="1:173" s="166" customFormat="1" x14ac:dyDescent="0.2">
      <c r="A148" s="201"/>
      <c r="B148" s="202"/>
      <c r="C148" s="123"/>
      <c r="D148" s="168"/>
      <c r="E148" s="169"/>
      <c r="F148" s="169"/>
      <c r="G148" s="117"/>
      <c r="H148" s="117"/>
      <c r="I148" s="117"/>
      <c r="J148" s="117"/>
      <c r="K148" s="117"/>
      <c r="L148" s="117"/>
      <c r="M148" s="117"/>
      <c r="N148" s="117"/>
      <c r="O148" s="117"/>
      <c r="P148" s="117"/>
      <c r="Q148" s="117"/>
      <c r="R148" s="117"/>
      <c r="S148" s="117"/>
      <c r="T148" s="117"/>
      <c r="U148" s="117"/>
      <c r="V148" s="117"/>
      <c r="W148" s="117"/>
      <c r="X148" s="117"/>
      <c r="Y148" s="117"/>
      <c r="Z148" s="117"/>
      <c r="AA148" s="117"/>
      <c r="AB148" s="117"/>
      <c r="AC148" s="117"/>
      <c r="AD148" s="117"/>
      <c r="AE148" s="117"/>
      <c r="AF148" s="117"/>
      <c r="AG148" s="117"/>
      <c r="AH148" s="117"/>
      <c r="AI148" s="117"/>
      <c r="AJ148" s="117"/>
      <c r="AK148" s="117"/>
      <c r="AL148" s="117"/>
      <c r="AM148" s="117"/>
      <c r="AN148" s="117"/>
      <c r="AO148" s="117"/>
      <c r="AP148" s="117"/>
      <c r="AQ148" s="117"/>
      <c r="AR148" s="117"/>
      <c r="AS148" s="117"/>
      <c r="AT148" s="117"/>
      <c r="AU148" s="117"/>
      <c r="AV148" s="117"/>
      <c r="AW148" s="117"/>
      <c r="AX148" s="117"/>
      <c r="AY148" s="117"/>
      <c r="AZ148" s="117"/>
      <c r="BA148" s="117"/>
      <c r="BB148" s="117"/>
      <c r="BC148" s="117"/>
      <c r="BD148" s="117"/>
      <c r="BE148" s="117"/>
      <c r="BF148" s="117"/>
      <c r="BG148" s="117"/>
      <c r="BH148" s="117"/>
      <c r="BI148" s="117"/>
      <c r="BJ148" s="117"/>
      <c r="BK148" s="117"/>
      <c r="BL148" s="117"/>
      <c r="BM148" s="117"/>
      <c r="BN148" s="117"/>
      <c r="BO148" s="117"/>
      <c r="BP148" s="117"/>
      <c r="BQ148" s="117"/>
      <c r="BR148" s="117"/>
      <c r="BS148" s="117"/>
      <c r="BT148" s="117"/>
      <c r="BU148" s="117"/>
      <c r="BV148" s="117"/>
      <c r="BW148" s="117"/>
      <c r="BX148" s="117"/>
      <c r="BY148" s="117"/>
      <c r="BZ148" s="117"/>
      <c r="CA148" s="117"/>
      <c r="CB148" s="117"/>
      <c r="CC148" s="117"/>
      <c r="CD148" s="117"/>
      <c r="CE148" s="117"/>
      <c r="CF148" s="117"/>
      <c r="CG148" s="117"/>
      <c r="CH148" s="117"/>
      <c r="CI148" s="117"/>
      <c r="CJ148" s="117"/>
      <c r="CK148" s="117"/>
      <c r="CL148" s="117"/>
      <c r="CM148" s="117"/>
      <c r="CN148" s="117"/>
      <c r="CO148" s="117"/>
      <c r="CP148" s="117"/>
      <c r="CQ148" s="117"/>
      <c r="CR148" s="117"/>
      <c r="CS148" s="117"/>
      <c r="CT148" s="117"/>
      <c r="CU148" s="117"/>
      <c r="CV148" s="117"/>
      <c r="CW148" s="117"/>
      <c r="CX148" s="117"/>
      <c r="CY148" s="117"/>
      <c r="CZ148" s="117"/>
      <c r="DA148" s="117"/>
      <c r="DB148" s="117"/>
      <c r="DC148" s="117"/>
      <c r="DD148" s="117"/>
      <c r="DE148" s="117"/>
      <c r="DF148" s="117"/>
      <c r="DG148" s="117"/>
      <c r="DH148" s="117"/>
      <c r="DI148" s="117"/>
      <c r="DJ148" s="117"/>
      <c r="DK148" s="117"/>
      <c r="DL148" s="117"/>
      <c r="DM148" s="117"/>
      <c r="DN148" s="117"/>
      <c r="DO148" s="117"/>
      <c r="DP148" s="117"/>
      <c r="DQ148" s="117"/>
      <c r="DR148" s="117"/>
      <c r="DS148" s="117"/>
      <c r="DT148" s="117"/>
      <c r="DU148" s="117"/>
      <c r="DV148" s="117"/>
      <c r="DW148" s="117"/>
      <c r="DX148" s="117"/>
      <c r="DY148" s="117"/>
      <c r="DZ148" s="117"/>
      <c r="EA148" s="117"/>
      <c r="EB148" s="117"/>
      <c r="EC148" s="117"/>
      <c r="ED148" s="117"/>
      <c r="EE148" s="117"/>
      <c r="EF148" s="117"/>
      <c r="EG148" s="117"/>
      <c r="EH148" s="117"/>
      <c r="EI148" s="117"/>
      <c r="EJ148" s="117"/>
      <c r="EK148" s="117"/>
      <c r="EL148" s="117"/>
      <c r="EM148" s="117"/>
      <c r="EN148" s="117"/>
      <c r="EO148" s="117"/>
      <c r="EP148" s="117"/>
      <c r="EQ148" s="117"/>
      <c r="ER148" s="117"/>
      <c r="ES148" s="117"/>
      <c r="ET148" s="117"/>
      <c r="EU148" s="117"/>
      <c r="EV148" s="117"/>
      <c r="EW148" s="117"/>
      <c r="EX148" s="117"/>
      <c r="EY148" s="117"/>
      <c r="EZ148" s="117"/>
      <c r="FA148" s="117"/>
      <c r="FB148" s="117"/>
      <c r="FC148" s="117"/>
      <c r="FD148" s="117"/>
      <c r="FE148" s="117"/>
      <c r="FF148" s="117"/>
      <c r="FG148" s="117"/>
      <c r="FH148" s="117"/>
      <c r="FI148" s="117"/>
      <c r="FJ148" s="117"/>
      <c r="FK148" s="117"/>
      <c r="FL148" s="117"/>
      <c r="FM148" s="117"/>
      <c r="FN148" s="117"/>
      <c r="FO148" s="117"/>
      <c r="FP148" s="117"/>
      <c r="FQ148" s="117"/>
    </row>
    <row r="150" spans="1:173" s="166" customFormat="1" x14ac:dyDescent="0.2">
      <c r="A150" s="202"/>
      <c r="B150" s="202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  <c r="S150" s="117"/>
      <c r="T150" s="117"/>
      <c r="U150" s="117"/>
      <c r="V150" s="117"/>
      <c r="W150" s="117"/>
      <c r="X150" s="117"/>
      <c r="Y150" s="117"/>
      <c r="Z150" s="117"/>
      <c r="AA150" s="117"/>
      <c r="AB150" s="117"/>
      <c r="AC150" s="117"/>
      <c r="AD150" s="117"/>
      <c r="AE150" s="117"/>
      <c r="AF150" s="117"/>
      <c r="AG150" s="117"/>
      <c r="AH150" s="117"/>
      <c r="AI150" s="117"/>
      <c r="AJ150" s="117"/>
      <c r="AK150" s="117"/>
      <c r="AL150" s="117"/>
      <c r="AM150" s="117"/>
      <c r="AN150" s="117"/>
      <c r="AO150" s="117"/>
      <c r="AP150" s="117"/>
      <c r="AQ150" s="117"/>
      <c r="AR150" s="117"/>
      <c r="AS150" s="117"/>
      <c r="AT150" s="117"/>
      <c r="AU150" s="117"/>
      <c r="AV150" s="117"/>
      <c r="AW150" s="117"/>
      <c r="AX150" s="117"/>
      <c r="AY150" s="117"/>
      <c r="AZ150" s="117"/>
      <c r="BA150" s="117"/>
      <c r="BB150" s="117"/>
      <c r="BC150" s="117"/>
      <c r="BD150" s="117"/>
      <c r="BE150" s="117"/>
      <c r="BF150" s="117"/>
      <c r="BG150" s="117"/>
      <c r="BH150" s="117"/>
      <c r="BI150" s="117"/>
      <c r="BJ150" s="117"/>
      <c r="BK150" s="117"/>
      <c r="BL150" s="117"/>
      <c r="BM150" s="117"/>
      <c r="BN150" s="117"/>
      <c r="BO150" s="117"/>
      <c r="BP150" s="117"/>
      <c r="BQ150" s="117"/>
      <c r="BR150" s="117"/>
      <c r="BS150" s="117"/>
      <c r="BT150" s="117"/>
      <c r="BU150" s="117"/>
      <c r="BV150" s="117"/>
      <c r="BW150" s="117"/>
      <c r="BX150" s="117"/>
      <c r="BY150" s="117"/>
      <c r="BZ150" s="117"/>
      <c r="CA150" s="117"/>
      <c r="CB150" s="117"/>
      <c r="CC150" s="117"/>
      <c r="CD150" s="117"/>
      <c r="CE150" s="117"/>
      <c r="CF150" s="117"/>
      <c r="CG150" s="117"/>
      <c r="CH150" s="117"/>
      <c r="CI150" s="117"/>
      <c r="CJ150" s="117"/>
      <c r="CK150" s="117"/>
      <c r="CL150" s="117"/>
      <c r="CM150" s="117"/>
      <c r="CN150" s="117"/>
      <c r="CO150" s="117"/>
      <c r="CP150" s="117"/>
      <c r="CQ150" s="117"/>
      <c r="CR150" s="117"/>
      <c r="CS150" s="117"/>
      <c r="CT150" s="117"/>
      <c r="CU150" s="117"/>
      <c r="CV150" s="117"/>
      <c r="CW150" s="117"/>
      <c r="CX150" s="117"/>
      <c r="CY150" s="117"/>
      <c r="CZ150" s="117"/>
      <c r="DA150" s="117"/>
      <c r="DB150" s="117"/>
      <c r="DC150" s="117"/>
      <c r="DD150" s="117"/>
      <c r="DE150" s="117"/>
      <c r="DF150" s="117"/>
      <c r="DG150" s="117"/>
      <c r="DH150" s="117"/>
      <c r="DI150" s="117"/>
      <c r="DJ150" s="117"/>
      <c r="DK150" s="117"/>
      <c r="DL150" s="117"/>
      <c r="DM150" s="117"/>
      <c r="DN150" s="117"/>
      <c r="DO150" s="117"/>
      <c r="DP150" s="117"/>
      <c r="DQ150" s="117"/>
      <c r="DR150" s="117"/>
      <c r="DS150" s="117"/>
      <c r="DT150" s="117"/>
      <c r="DU150" s="117"/>
      <c r="DV150" s="117"/>
      <c r="DW150" s="117"/>
      <c r="DX150" s="117"/>
      <c r="DY150" s="117"/>
      <c r="DZ150" s="117"/>
      <c r="EA150" s="117"/>
      <c r="EB150" s="117"/>
      <c r="EC150" s="117"/>
      <c r="ED150" s="117"/>
      <c r="EE150" s="117"/>
      <c r="EF150" s="117"/>
      <c r="EG150" s="117"/>
      <c r="EH150" s="117"/>
      <c r="EI150" s="117"/>
      <c r="EJ150" s="117"/>
      <c r="EK150" s="117"/>
      <c r="EL150" s="117"/>
      <c r="EM150" s="117"/>
      <c r="EN150" s="117"/>
      <c r="EO150" s="117"/>
      <c r="EP150" s="117"/>
      <c r="EQ150" s="117"/>
      <c r="ER150" s="117"/>
      <c r="ES150" s="117"/>
      <c r="ET150" s="117"/>
      <c r="EU150" s="117"/>
      <c r="EV150" s="117"/>
      <c r="EW150" s="117"/>
      <c r="EX150" s="117"/>
      <c r="EY150" s="117"/>
      <c r="EZ150" s="117"/>
      <c r="FA150" s="117"/>
      <c r="FB150" s="117"/>
      <c r="FC150" s="117"/>
      <c r="FD150" s="117"/>
      <c r="FE150" s="117"/>
      <c r="FF150" s="117"/>
      <c r="FG150" s="117"/>
      <c r="FH150" s="117"/>
      <c r="FI150" s="117"/>
      <c r="FJ150" s="117"/>
      <c r="FK150" s="117"/>
      <c r="FL150" s="117"/>
      <c r="FM150" s="117"/>
      <c r="FN150" s="117"/>
      <c r="FO150" s="117"/>
      <c r="FP150" s="117"/>
      <c r="FQ150" s="117"/>
    </row>
    <row r="151" spans="1:173" s="166" customFormat="1" x14ac:dyDescent="0.2">
      <c r="A151" s="202"/>
      <c r="B151" s="202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/>
      <c r="AY151" s="117"/>
      <c r="AZ151" s="117"/>
      <c r="BA151" s="117"/>
      <c r="BB151" s="117"/>
      <c r="BC151" s="117"/>
      <c r="BD151" s="117"/>
      <c r="BE151" s="117"/>
      <c r="BF151" s="117"/>
      <c r="BG151" s="117"/>
      <c r="BH151" s="117"/>
      <c r="BI151" s="117"/>
      <c r="BJ151" s="117"/>
      <c r="BK151" s="117"/>
      <c r="BL151" s="117"/>
      <c r="BM151" s="117"/>
      <c r="BN151" s="117"/>
      <c r="BO151" s="117"/>
      <c r="BP151" s="117"/>
      <c r="BQ151" s="117"/>
      <c r="BR151" s="117"/>
      <c r="BS151" s="117"/>
      <c r="BT151" s="117"/>
      <c r="BU151" s="117"/>
      <c r="BV151" s="117"/>
      <c r="BW151" s="117"/>
      <c r="BX151" s="117"/>
      <c r="BY151" s="117"/>
      <c r="BZ151" s="117"/>
      <c r="CA151" s="117"/>
      <c r="CB151" s="117"/>
      <c r="CC151" s="117"/>
      <c r="CD151" s="117"/>
      <c r="CE151" s="117"/>
      <c r="CF151" s="117"/>
      <c r="CG151" s="117"/>
      <c r="CH151" s="117"/>
      <c r="CI151" s="117"/>
      <c r="CJ151" s="117"/>
      <c r="CK151" s="117"/>
      <c r="CL151" s="117"/>
      <c r="CM151" s="117"/>
      <c r="CN151" s="117"/>
      <c r="CO151" s="117"/>
      <c r="CP151" s="117"/>
      <c r="CQ151" s="117"/>
      <c r="CR151" s="117"/>
      <c r="CS151" s="117"/>
      <c r="CT151" s="117"/>
      <c r="CU151" s="117"/>
      <c r="CV151" s="117"/>
      <c r="CW151" s="117"/>
      <c r="CX151" s="117"/>
      <c r="CY151" s="117"/>
      <c r="CZ151" s="117"/>
      <c r="DA151" s="117"/>
      <c r="DB151" s="117"/>
      <c r="DC151" s="117"/>
      <c r="DD151" s="117"/>
      <c r="DE151" s="117"/>
      <c r="DF151" s="117"/>
      <c r="DG151" s="117"/>
      <c r="DH151" s="117"/>
      <c r="DI151" s="117"/>
      <c r="DJ151" s="117"/>
      <c r="DK151" s="117"/>
      <c r="DL151" s="117"/>
      <c r="DM151" s="117"/>
      <c r="DN151" s="117"/>
      <c r="DO151" s="117"/>
      <c r="DP151" s="117"/>
      <c r="DQ151" s="117"/>
      <c r="DR151" s="117"/>
      <c r="DS151" s="117"/>
      <c r="DT151" s="117"/>
      <c r="DU151" s="117"/>
      <c r="DV151" s="117"/>
      <c r="DW151" s="117"/>
      <c r="DX151" s="117"/>
      <c r="DY151" s="117"/>
      <c r="DZ151" s="117"/>
      <c r="EA151" s="117"/>
      <c r="EB151" s="117"/>
      <c r="EC151" s="117"/>
      <c r="ED151" s="117"/>
      <c r="EE151" s="117"/>
      <c r="EF151" s="117"/>
      <c r="EG151" s="117"/>
      <c r="EH151" s="117"/>
      <c r="EI151" s="117"/>
      <c r="EJ151" s="117"/>
      <c r="EK151" s="117"/>
      <c r="EL151" s="117"/>
      <c r="EM151" s="117"/>
      <c r="EN151" s="117"/>
      <c r="EO151" s="117"/>
      <c r="EP151" s="117"/>
      <c r="EQ151" s="117"/>
      <c r="ER151" s="117"/>
      <c r="ES151" s="117"/>
      <c r="ET151" s="117"/>
      <c r="EU151" s="117"/>
      <c r="EV151" s="117"/>
      <c r="EW151" s="117"/>
      <c r="EX151" s="117"/>
      <c r="EY151" s="117"/>
      <c r="EZ151" s="117"/>
      <c r="FA151" s="117"/>
      <c r="FB151" s="117"/>
      <c r="FC151" s="117"/>
      <c r="FD151" s="117"/>
      <c r="FE151" s="117"/>
      <c r="FF151" s="117"/>
      <c r="FG151" s="117"/>
      <c r="FH151" s="117"/>
      <c r="FI151" s="117"/>
      <c r="FJ151" s="117"/>
      <c r="FK151" s="117"/>
      <c r="FL151" s="117"/>
      <c r="FM151" s="117"/>
      <c r="FN151" s="117"/>
      <c r="FO151" s="117"/>
      <c r="FP151" s="117"/>
      <c r="FQ151" s="117"/>
    </row>
    <row r="152" spans="1:173" s="166" customFormat="1" x14ac:dyDescent="0.2">
      <c r="A152" s="202"/>
      <c r="B152" s="202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  <c r="AD152" s="117"/>
      <c r="AE152" s="117"/>
      <c r="AF152" s="117"/>
      <c r="AG152" s="117"/>
      <c r="AH152" s="117"/>
      <c r="AI152" s="117"/>
      <c r="AJ152" s="117"/>
      <c r="AK152" s="117"/>
      <c r="AL152" s="117"/>
      <c r="AM152" s="117"/>
      <c r="AN152" s="117"/>
      <c r="AO152" s="117"/>
      <c r="AP152" s="117"/>
      <c r="AQ152" s="117"/>
      <c r="AR152" s="117"/>
      <c r="AS152" s="117"/>
      <c r="AT152" s="117"/>
      <c r="AU152" s="117"/>
      <c r="AV152" s="117"/>
      <c r="AW152" s="117"/>
      <c r="AX152" s="117"/>
      <c r="AY152" s="117"/>
      <c r="AZ152" s="117"/>
      <c r="BA152" s="117"/>
      <c r="BB152" s="117"/>
      <c r="BC152" s="117"/>
      <c r="BD152" s="117"/>
      <c r="BE152" s="117"/>
      <c r="BF152" s="117"/>
      <c r="BG152" s="117"/>
      <c r="BH152" s="117"/>
      <c r="BI152" s="117"/>
      <c r="BJ152" s="117"/>
      <c r="BK152" s="117"/>
      <c r="BL152" s="117"/>
      <c r="BM152" s="117"/>
      <c r="BN152" s="117"/>
      <c r="BO152" s="117"/>
      <c r="BP152" s="117"/>
      <c r="BQ152" s="117"/>
      <c r="BR152" s="117"/>
      <c r="BS152" s="117"/>
      <c r="BT152" s="117"/>
      <c r="BU152" s="117"/>
      <c r="BV152" s="117"/>
      <c r="BW152" s="117"/>
      <c r="BX152" s="117"/>
      <c r="BY152" s="117"/>
      <c r="BZ152" s="117"/>
      <c r="CA152" s="117"/>
      <c r="CB152" s="117"/>
      <c r="CC152" s="117"/>
      <c r="CD152" s="117"/>
      <c r="CE152" s="117"/>
      <c r="CF152" s="117"/>
      <c r="CG152" s="117"/>
      <c r="CH152" s="117"/>
      <c r="CI152" s="117"/>
      <c r="CJ152" s="117"/>
      <c r="CK152" s="117"/>
      <c r="CL152" s="117"/>
      <c r="CM152" s="117"/>
      <c r="CN152" s="117"/>
      <c r="CO152" s="117"/>
      <c r="CP152" s="117"/>
      <c r="CQ152" s="117"/>
      <c r="CR152" s="117"/>
      <c r="CS152" s="117"/>
      <c r="CT152" s="117"/>
      <c r="CU152" s="117"/>
      <c r="CV152" s="117"/>
      <c r="CW152" s="117"/>
      <c r="CX152" s="117"/>
      <c r="CY152" s="117"/>
      <c r="CZ152" s="117"/>
      <c r="DA152" s="117"/>
      <c r="DB152" s="117"/>
      <c r="DC152" s="117"/>
      <c r="DD152" s="117"/>
      <c r="DE152" s="117"/>
      <c r="DF152" s="117"/>
      <c r="DG152" s="117"/>
      <c r="DH152" s="117"/>
      <c r="DI152" s="117"/>
      <c r="DJ152" s="117"/>
      <c r="DK152" s="117"/>
      <c r="DL152" s="117"/>
      <c r="DM152" s="117"/>
      <c r="DN152" s="117"/>
      <c r="DO152" s="117"/>
      <c r="DP152" s="117"/>
      <c r="DQ152" s="117"/>
      <c r="DR152" s="117"/>
      <c r="DS152" s="117"/>
      <c r="DT152" s="117"/>
      <c r="DU152" s="117"/>
      <c r="DV152" s="117"/>
      <c r="DW152" s="117"/>
      <c r="DX152" s="117"/>
      <c r="DY152" s="117"/>
      <c r="DZ152" s="117"/>
      <c r="EA152" s="117"/>
      <c r="EB152" s="117"/>
      <c r="EC152" s="117"/>
      <c r="ED152" s="117"/>
      <c r="EE152" s="117"/>
      <c r="EF152" s="117"/>
      <c r="EG152" s="117"/>
      <c r="EH152" s="117"/>
      <c r="EI152" s="117"/>
      <c r="EJ152" s="117"/>
      <c r="EK152" s="117"/>
      <c r="EL152" s="117"/>
      <c r="EM152" s="117"/>
      <c r="EN152" s="117"/>
      <c r="EO152" s="117"/>
      <c r="EP152" s="117"/>
      <c r="EQ152" s="117"/>
      <c r="ER152" s="117"/>
      <c r="ES152" s="117"/>
      <c r="ET152" s="117"/>
      <c r="EU152" s="117"/>
      <c r="EV152" s="117"/>
      <c r="EW152" s="117"/>
      <c r="EX152" s="117"/>
      <c r="EY152" s="117"/>
      <c r="EZ152" s="117"/>
      <c r="FA152" s="117"/>
      <c r="FB152" s="117"/>
      <c r="FC152" s="117"/>
      <c r="FD152" s="117"/>
      <c r="FE152" s="117"/>
      <c r="FF152" s="117"/>
      <c r="FG152" s="117"/>
      <c r="FH152" s="117"/>
      <c r="FI152" s="117"/>
      <c r="FJ152" s="117"/>
      <c r="FK152" s="117"/>
      <c r="FL152" s="117"/>
      <c r="FM152" s="117"/>
      <c r="FN152" s="117"/>
      <c r="FO152" s="117"/>
      <c r="FP152" s="117"/>
      <c r="FQ152" s="117"/>
    </row>
  </sheetData>
  <mergeCells count="117">
    <mergeCell ref="A138:H138"/>
    <mergeCell ref="C26:F26"/>
    <mergeCell ref="C29:F29"/>
    <mergeCell ref="C32:F32"/>
    <mergeCell ref="C40:F40"/>
    <mergeCell ref="C46:F46"/>
    <mergeCell ref="C48:F48"/>
    <mergeCell ref="A134:H134"/>
    <mergeCell ref="A135:H135"/>
    <mergeCell ref="A136:H136"/>
    <mergeCell ref="A137:H137"/>
    <mergeCell ref="C130:F130"/>
    <mergeCell ref="C120:F120"/>
    <mergeCell ref="A121:H121"/>
    <mergeCell ref="C122:H122"/>
    <mergeCell ref="C124:H124"/>
    <mergeCell ref="C125:F125"/>
    <mergeCell ref="C126:F126"/>
    <mergeCell ref="A132:H132"/>
    <mergeCell ref="A133:H133"/>
    <mergeCell ref="C131:F131"/>
    <mergeCell ref="C127:H127"/>
    <mergeCell ref="C128:F128"/>
    <mergeCell ref="C129:F129"/>
    <mergeCell ref="C114:F114"/>
    <mergeCell ref="C115:F115"/>
    <mergeCell ref="C108:H108"/>
    <mergeCell ref="C109:F109"/>
    <mergeCell ref="A111:H111"/>
    <mergeCell ref="C116:F116"/>
    <mergeCell ref="C117:F117"/>
    <mergeCell ref="C118:H118"/>
    <mergeCell ref="C119:F119"/>
    <mergeCell ref="C102:F102"/>
    <mergeCell ref="C103:F103"/>
    <mergeCell ref="C106:F106"/>
    <mergeCell ref="C110:F110"/>
    <mergeCell ref="C104:F104"/>
    <mergeCell ref="C105:F105"/>
    <mergeCell ref="C107:F107"/>
    <mergeCell ref="C112:H112"/>
    <mergeCell ref="C113:H113"/>
    <mergeCell ref="C97:F97"/>
    <mergeCell ref="A99:H99"/>
    <mergeCell ref="C100:H100"/>
    <mergeCell ref="C101:H101"/>
    <mergeCell ref="C81:H81"/>
    <mergeCell ref="C84:F84"/>
    <mergeCell ref="C87:H87"/>
    <mergeCell ref="C89:F89"/>
    <mergeCell ref="C92:F92"/>
    <mergeCell ref="C98:F98"/>
    <mergeCell ref="C93:F93"/>
    <mergeCell ref="C95:F95"/>
    <mergeCell ref="A76:H76"/>
    <mergeCell ref="C77:H77"/>
    <mergeCell ref="C78:F78"/>
    <mergeCell ref="C65:H65"/>
    <mergeCell ref="C66:F66"/>
    <mergeCell ref="C68:H68"/>
    <mergeCell ref="C69:F69"/>
    <mergeCell ref="C94:F94"/>
    <mergeCell ref="C96:H96"/>
    <mergeCell ref="C64:F64"/>
    <mergeCell ref="C67:F67"/>
    <mergeCell ref="C72:F72"/>
    <mergeCell ref="A60:H60"/>
    <mergeCell ref="C61:H61"/>
    <mergeCell ref="C62:H62"/>
    <mergeCell ref="C63:F63"/>
    <mergeCell ref="C70:F70"/>
    <mergeCell ref="C75:F75"/>
    <mergeCell ref="C71:F71"/>
    <mergeCell ref="C73:H73"/>
    <mergeCell ref="C74:F74"/>
    <mergeCell ref="C43:H43"/>
    <mergeCell ref="C44:H44"/>
    <mergeCell ref="C41:F41"/>
    <mergeCell ref="C42:F42"/>
    <mergeCell ref="C51:F51"/>
    <mergeCell ref="C54:H54"/>
    <mergeCell ref="C55:F55"/>
    <mergeCell ref="C56:F56"/>
    <mergeCell ref="C45:F45"/>
    <mergeCell ref="C47:F47"/>
    <mergeCell ref="A49:H49"/>
    <mergeCell ref="C50:H50"/>
    <mergeCell ref="C31:F31"/>
    <mergeCell ref="C33:F33"/>
    <mergeCell ref="C34:F34"/>
    <mergeCell ref="C25:F25"/>
    <mergeCell ref="C27:H27"/>
    <mergeCell ref="A38:A39"/>
    <mergeCell ref="B38:B39"/>
    <mergeCell ref="C38:F38"/>
    <mergeCell ref="C35:F35"/>
    <mergeCell ref="A36:A37"/>
    <mergeCell ref="B36:B37"/>
    <mergeCell ref="C36:F36"/>
    <mergeCell ref="C24:H24"/>
    <mergeCell ref="A15:G15"/>
    <mergeCell ref="B16:H16"/>
    <mergeCell ref="C17:H17"/>
    <mergeCell ref="C18:H18"/>
    <mergeCell ref="C19:F19"/>
    <mergeCell ref="C20:F20"/>
    <mergeCell ref="C28:F28"/>
    <mergeCell ref="C30:H30"/>
    <mergeCell ref="A1:H1"/>
    <mergeCell ref="A2:H2"/>
    <mergeCell ref="C3:F3"/>
    <mergeCell ref="B4:H4"/>
    <mergeCell ref="C5:H5"/>
    <mergeCell ref="C6:H6"/>
    <mergeCell ref="C21:F21"/>
    <mergeCell ref="B22:H22"/>
    <mergeCell ref="C23:H23"/>
  </mergeCells>
  <printOptions gridLines="1"/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78"/>
  <sheetViews>
    <sheetView workbookViewId="0"/>
  </sheetViews>
  <sheetFormatPr defaultRowHeight="12.75" x14ac:dyDescent="0.2"/>
  <cols>
    <col min="1" max="1" width="19.5703125" customWidth="1"/>
    <col min="4" max="4" width="16.85546875" customWidth="1"/>
    <col min="8" max="8" width="11.140625" customWidth="1"/>
    <col min="9" max="9" width="23.140625" customWidth="1"/>
  </cols>
  <sheetData>
    <row r="1" spans="1:9" x14ac:dyDescent="0.2">
      <c r="A1" s="1"/>
      <c r="B1" s="2"/>
      <c r="C1" s="3"/>
      <c r="D1" s="1"/>
      <c r="E1" s="4"/>
      <c r="F1" s="1"/>
      <c r="G1" s="5"/>
      <c r="H1" s="5"/>
      <c r="I1" s="5"/>
    </row>
    <row r="2" spans="1:9" x14ac:dyDescent="0.2">
      <c r="A2" s="1"/>
      <c r="B2" s="2"/>
      <c r="C2" s="3"/>
      <c r="D2" s="1"/>
      <c r="E2" s="4"/>
      <c r="F2" s="1"/>
      <c r="G2" s="5"/>
      <c r="H2" s="5"/>
      <c r="I2" s="5"/>
    </row>
    <row r="3" spans="1:9" ht="30" x14ac:dyDescent="0.2">
      <c r="A3" s="373" t="s">
        <v>135</v>
      </c>
      <c r="B3" s="373"/>
      <c r="C3" s="373"/>
      <c r="D3" s="373"/>
      <c r="E3" s="373"/>
      <c r="F3" s="373"/>
      <c r="G3" s="373"/>
      <c r="H3" s="373"/>
      <c r="I3" s="373"/>
    </row>
    <row r="4" spans="1:9" ht="96" customHeight="1" x14ac:dyDescent="0.45">
      <c r="A4" s="6"/>
      <c r="B4" s="6"/>
      <c r="C4" s="6"/>
      <c r="D4" s="6"/>
      <c r="E4" s="6"/>
      <c r="F4" s="6"/>
      <c r="G4" s="6"/>
      <c r="H4" s="6"/>
      <c r="I4" s="6"/>
    </row>
    <row r="5" spans="1:9" ht="64.5" customHeight="1" x14ac:dyDescent="0.2">
      <c r="A5" s="11" t="s">
        <v>143</v>
      </c>
      <c r="B5" s="374" t="str">
        <f>'5.2. Brzeziny - Dół Płn.'!C5</f>
        <v xml:space="preserve">
Droga gminna nr 107718 R Brzeziny – Dół Północny
km od 0+000 do km 4+927
</v>
      </c>
      <c r="C5" s="374"/>
      <c r="D5" s="374"/>
      <c r="E5" s="374"/>
      <c r="F5" s="374"/>
      <c r="G5" s="374"/>
      <c r="H5" s="374"/>
      <c r="I5" s="374"/>
    </row>
    <row r="6" spans="1:9" ht="20.25" customHeight="1" x14ac:dyDescent="0.2">
      <c r="A6" s="7"/>
      <c r="B6" s="7"/>
      <c r="C6" s="7"/>
      <c r="D6" s="7"/>
      <c r="E6" s="7"/>
      <c r="F6" s="7"/>
      <c r="G6" s="7"/>
      <c r="H6" s="7"/>
      <c r="I6" s="5"/>
    </row>
    <row r="7" spans="1:9" ht="60.75" customHeight="1" x14ac:dyDescent="0.2">
      <c r="A7" s="11" t="s">
        <v>144</v>
      </c>
      <c r="B7" s="370" t="s">
        <v>134</v>
      </c>
      <c r="C7" s="370"/>
      <c r="D7" s="370"/>
      <c r="E7" s="370"/>
      <c r="F7" s="370"/>
      <c r="G7" s="370"/>
      <c r="H7" s="370"/>
      <c r="I7" s="370"/>
    </row>
    <row r="8" spans="1:9" ht="21" customHeight="1" x14ac:dyDescent="0.2">
      <c r="A8" s="7"/>
      <c r="B8" s="7"/>
      <c r="C8" s="7"/>
      <c r="D8" s="7"/>
      <c r="E8" s="7"/>
      <c r="F8" s="7"/>
      <c r="G8" s="7"/>
      <c r="H8" s="7"/>
      <c r="I8" s="5"/>
    </row>
    <row r="9" spans="1:9" ht="47.25" customHeight="1" x14ac:dyDescent="0.2">
      <c r="A9" s="11" t="s">
        <v>4</v>
      </c>
      <c r="B9" s="370" t="s">
        <v>137</v>
      </c>
      <c r="C9" s="370"/>
      <c r="D9" s="370"/>
      <c r="E9" s="370"/>
      <c r="F9" s="370"/>
      <c r="G9" s="370"/>
      <c r="H9" s="370"/>
      <c r="I9" s="370"/>
    </row>
    <row r="10" spans="1:9" ht="20.25" customHeight="1" x14ac:dyDescent="0.2">
      <c r="A10" s="12"/>
      <c r="B10" s="7"/>
      <c r="C10" s="7"/>
      <c r="D10" s="7"/>
      <c r="E10" s="7"/>
      <c r="F10" s="7"/>
      <c r="G10" s="7"/>
      <c r="H10" s="7"/>
      <c r="I10" s="7"/>
    </row>
    <row r="11" spans="1:9" ht="38.25" customHeight="1" x14ac:dyDescent="0.2">
      <c r="A11" s="11" t="s">
        <v>114</v>
      </c>
      <c r="B11" s="370" t="s">
        <v>23</v>
      </c>
      <c r="C11" s="370"/>
      <c r="D11" s="370"/>
      <c r="E11" s="370"/>
      <c r="F11" s="370"/>
      <c r="G11" s="370"/>
      <c r="H11" s="370"/>
      <c r="I11" s="370"/>
    </row>
    <row r="12" spans="1:9" ht="20.25" x14ac:dyDescent="0.2">
      <c r="A12" s="8"/>
      <c r="B12" s="372"/>
      <c r="C12" s="372"/>
      <c r="D12" s="372"/>
      <c r="E12" s="372"/>
      <c r="F12" s="372"/>
      <c r="G12" s="372"/>
      <c r="H12" s="372"/>
      <c r="I12" s="372"/>
    </row>
    <row r="13" spans="1:9" ht="49.5" customHeight="1" x14ac:dyDescent="0.2">
      <c r="A13" s="11" t="s">
        <v>115</v>
      </c>
      <c r="B13" s="370" t="s">
        <v>113</v>
      </c>
      <c r="C13" s="370"/>
      <c r="D13" s="370"/>
      <c r="E13" s="370"/>
      <c r="F13" s="370"/>
      <c r="G13" s="370"/>
      <c r="H13" s="370"/>
      <c r="I13" s="370"/>
    </row>
    <row r="14" spans="1:9" x14ac:dyDescent="0.2">
      <c r="A14" s="1"/>
      <c r="B14" s="2"/>
      <c r="C14" s="3"/>
      <c r="D14" s="1"/>
      <c r="E14" s="4"/>
      <c r="F14" s="1"/>
      <c r="G14" s="5"/>
      <c r="H14" s="5"/>
      <c r="I14" s="5"/>
    </row>
    <row r="15" spans="1:9" ht="56.25" customHeight="1" x14ac:dyDescent="0.2">
      <c r="A15" s="11" t="s">
        <v>116</v>
      </c>
      <c r="B15" s="300" t="s">
        <v>145</v>
      </c>
      <c r="C15" s="300"/>
      <c r="D15" s="300"/>
      <c r="E15" s="300"/>
      <c r="F15" s="300"/>
      <c r="G15" s="300"/>
      <c r="H15" s="300"/>
      <c r="I15" s="300"/>
    </row>
    <row r="16" spans="1:9" ht="36" hidden="1" customHeight="1" x14ac:dyDescent="0.2">
      <c r="A16" s="371" t="s">
        <v>119</v>
      </c>
      <c r="B16" s="300" t="s">
        <v>120</v>
      </c>
      <c r="C16" s="300"/>
      <c r="D16" s="300"/>
      <c r="E16" s="300"/>
      <c r="F16" s="300"/>
      <c r="G16" s="300"/>
      <c r="H16" s="300"/>
      <c r="I16" s="300"/>
    </row>
    <row r="17" spans="1:9" ht="36.75" hidden="1" customHeight="1" x14ac:dyDescent="0.2">
      <c r="A17" s="371"/>
      <c r="B17" s="300" t="s">
        <v>19</v>
      </c>
      <c r="C17" s="300"/>
      <c r="D17" s="300"/>
      <c r="E17" s="300"/>
      <c r="F17" s="300"/>
      <c r="G17" s="300"/>
      <c r="H17" s="300"/>
      <c r="I17" s="300"/>
    </row>
    <row r="18" spans="1:9" ht="35.25" hidden="1" customHeight="1" x14ac:dyDescent="0.2">
      <c r="A18" s="371"/>
      <c r="B18" s="300" t="s">
        <v>20</v>
      </c>
      <c r="C18" s="300"/>
      <c r="D18" s="300"/>
      <c r="E18" s="300"/>
      <c r="F18" s="300"/>
      <c r="G18" s="300"/>
      <c r="H18" s="300"/>
      <c r="I18" s="300"/>
    </row>
    <row r="19" spans="1:9" ht="29.25" customHeight="1" x14ac:dyDescent="0.2">
      <c r="A19" s="367" t="s">
        <v>139</v>
      </c>
      <c r="B19" s="367"/>
      <c r="C19" s="367"/>
      <c r="D19" s="367"/>
      <c r="E19" s="368">
        <f>A66</f>
        <v>1475000</v>
      </c>
      <c r="F19" s="368"/>
      <c r="G19" s="368"/>
      <c r="H19" s="368"/>
      <c r="I19" s="368"/>
    </row>
    <row r="20" spans="1:9" ht="19.5" customHeight="1" x14ac:dyDescent="0.2">
      <c r="A20" s="89" t="s">
        <v>5</v>
      </c>
      <c r="B20" s="369" t="str">
        <f>E78</f>
        <v>jeden milion czterysta siedemdziesiąt pięć tysięcy zł 0/100</v>
      </c>
      <c r="C20" s="369"/>
      <c r="D20" s="369"/>
      <c r="E20" s="369"/>
      <c r="F20" s="369"/>
      <c r="G20" s="369"/>
      <c r="H20" s="369"/>
      <c r="I20" s="369"/>
    </row>
    <row r="21" spans="1:9" x14ac:dyDescent="0.2">
      <c r="A21" s="1"/>
      <c r="B21" s="2"/>
      <c r="C21" s="3"/>
      <c r="D21" s="1"/>
      <c r="E21" s="4"/>
      <c r="F21" s="1"/>
      <c r="G21" s="5"/>
      <c r="H21" s="5"/>
      <c r="I21" s="5"/>
    </row>
    <row r="22" spans="1:9" ht="18.75" x14ac:dyDescent="0.2">
      <c r="A22" s="367" t="s">
        <v>140</v>
      </c>
      <c r="B22" s="367"/>
      <c r="C22" s="367"/>
      <c r="D22" s="367">
        <f>[2]KI2!E26</f>
        <v>0</v>
      </c>
      <c r="E22" s="368">
        <f>'5.2. Brzeziny - Dół Płn.'!E28</f>
        <v>1814250</v>
      </c>
      <c r="F22" s="368"/>
      <c r="G22" s="368"/>
      <c r="H22" s="368"/>
      <c r="I22" s="368"/>
    </row>
    <row r="23" spans="1:9" x14ac:dyDescent="0.2">
      <c r="A23" s="1"/>
      <c r="B23" s="2"/>
      <c r="C23" s="3"/>
      <c r="D23" s="1"/>
      <c r="E23" s="4"/>
      <c r="F23" s="1"/>
      <c r="G23" s="5"/>
      <c r="H23" s="5"/>
      <c r="I23" s="5"/>
    </row>
    <row r="24" spans="1:9" ht="21" customHeight="1" x14ac:dyDescent="0.2">
      <c r="A24" s="89" t="s">
        <v>5</v>
      </c>
      <c r="B24" s="369" t="str">
        <f>'5.2. Brzeziny - Dół Płn.'!E82</f>
        <v>jeden milion osiemset czternaście tysięcy dwieście pięćdziesiąt zł 0/100</v>
      </c>
      <c r="C24" s="369"/>
      <c r="D24" s="369"/>
      <c r="E24" s="369"/>
      <c r="F24" s="369"/>
      <c r="G24" s="369"/>
      <c r="H24" s="369"/>
      <c r="I24" s="369"/>
    </row>
    <row r="25" spans="1:9" x14ac:dyDescent="0.2">
      <c r="A25" s="1"/>
      <c r="B25" s="2"/>
      <c r="C25" s="3"/>
      <c r="D25" s="1"/>
      <c r="E25" s="4"/>
      <c r="F25" s="1"/>
      <c r="G25" s="5"/>
      <c r="H25" s="5"/>
      <c r="I25" s="5"/>
    </row>
    <row r="33" spans="2:8" x14ac:dyDescent="0.2">
      <c r="B33" t="s">
        <v>117</v>
      </c>
      <c r="H33" t="s">
        <v>117</v>
      </c>
    </row>
    <row r="34" spans="2:8" x14ac:dyDescent="0.2">
      <c r="B34" s="294" t="s">
        <v>118</v>
      </c>
      <c r="C34" s="294"/>
      <c r="H34" s="90" t="s">
        <v>4</v>
      </c>
    </row>
    <row r="53" spans="1:11" x14ac:dyDescent="0.2">
      <c r="A53" s="77">
        <f>[3]KI3!I230</f>
        <v>292152.32000000001</v>
      </c>
      <c r="B53" s="78"/>
      <c r="C53" s="78"/>
      <c r="D53" s="78"/>
      <c r="E53" s="78"/>
      <c r="F53" s="78"/>
      <c r="G53" s="366" t="s">
        <v>108</v>
      </c>
      <c r="H53" s="366"/>
      <c r="I53" s="78"/>
      <c r="J53" s="78"/>
      <c r="K53" s="78"/>
    </row>
    <row r="54" spans="1:11" x14ac:dyDescent="0.2">
      <c r="A54" s="79"/>
      <c r="B54" s="78"/>
      <c r="C54" s="80" t="s">
        <v>109</v>
      </c>
      <c r="D54" s="81" t="s">
        <v>110</v>
      </c>
      <c r="E54" s="80" t="s">
        <v>109</v>
      </c>
      <c r="F54" s="81" t="s">
        <v>110</v>
      </c>
      <c r="G54" s="80" t="s">
        <v>109</v>
      </c>
      <c r="H54" s="81" t="s">
        <v>110</v>
      </c>
      <c r="I54" s="88" t="s">
        <v>111</v>
      </c>
      <c r="J54" s="82" t="s">
        <v>112</v>
      </c>
      <c r="K54" s="78"/>
    </row>
    <row r="55" spans="1:11" x14ac:dyDescent="0.2">
      <c r="A55" s="78">
        <f>INT(A$66/10000000)</f>
        <v>0</v>
      </c>
      <c r="B55" s="78"/>
      <c r="C55" s="83">
        <f>IF(AND(A55&gt;=0,A55&lt;=5),1,0)</f>
        <v>1</v>
      </c>
      <c r="D55" s="83">
        <f>IF(AND(A55&gt;=6,A55&lt;=9),1,0)</f>
        <v>0</v>
      </c>
      <c r="E55" s="84" t="str">
        <f>IF(A55=0,"",IF(A55=1,IF(A56=0,"dziesięć milionów ",""),IF(A55=2,"dwadzieścia ",IF(A55=3,"trzydzieści ",IF(A55=4,"czterdzieści ",IF(A55=5,"pięćdziesiąt ",""))))))</f>
        <v/>
      </c>
      <c r="F55" s="84" t="str">
        <f>IF(A55=6,"sześćdziesiąt ",IF(A55=7,"siedemdziesiąt ",IF(A55=8,"osiemdziesiąt ",IF(A55=9,"dziewięćdziesiąt ",""))))</f>
        <v/>
      </c>
      <c r="G55" s="78"/>
      <c r="H55" s="78"/>
      <c r="I55" s="78"/>
      <c r="J55" s="84" t="str">
        <f>IF(C55,E55&amp;I55,IF(D55,F55&amp;I55,""))</f>
        <v/>
      </c>
      <c r="K55" s="78"/>
    </row>
    <row r="56" spans="1:11" x14ac:dyDescent="0.2">
      <c r="A56" s="79">
        <f>INT(A$66/1000000)-A55*10</f>
        <v>1</v>
      </c>
      <c r="B56" s="78"/>
      <c r="C56" s="83">
        <f t="shared" ref="C56:C62" si="0">IF(AND(A56&gt;=0,A56&lt;=5),1,0)</f>
        <v>1</v>
      </c>
      <c r="D56" s="83">
        <f t="shared" ref="D56:D62" si="1">IF(AND(A56&gt;=6,A56&lt;=9),1,0)</f>
        <v>0</v>
      </c>
      <c r="E56" s="84" t="str">
        <f>IF(A56=0,IF(AND(A55&lt;&gt;0,A55&lt;&gt;1),"milionów ",""),IF(A56=1,IF(A55=0,"jeden milion ","jeden milionów "),IF(A56=2,"dwa miliony ",IF(A56=3,"trzy miliony ",IF(A56=4,"cztery miliony ",IF(A56=5,"pięć milionów ",""))))))</f>
        <v xml:space="preserve">jeden milion </v>
      </c>
      <c r="F56" s="84" t="str">
        <f>IF(A56=6,"sześć milionów ",IF(A56=7,"siedem milionów ",IF(A56=8,"osiem milionów ",IF(A56=9,"dziewięć milionów ",""))))</f>
        <v/>
      </c>
      <c r="G56" s="84" t="str">
        <f>IF(A56=0,"",IF(A56=1,"jedenaście milionów ",IF(A56=2,"dwanaście milionów ",IF(A56=3,"trzynaście milionów ",IF(A56=4,"czternaście milionów ",IF(A56=5,"piętnaście milionów ",""))))))</f>
        <v xml:space="preserve">jedenaście milionów </v>
      </c>
      <c r="H56" s="84" t="str">
        <f>IF(A56=6,"szesnaście milionów ",IF(A56=7,"siedemnaście milionów ",IF(A56=8,"osiemnaście milionów ",IF(A56=9,"dziewiętnaście milionów ",""))))</f>
        <v/>
      </c>
      <c r="I56" s="78"/>
      <c r="J56" s="84" t="str">
        <f>IF(A55=1,IF(C56,G56,IF(D56,H56)),IF(C56,E56,IF(D56,F56,"")))</f>
        <v xml:space="preserve">jeden milion </v>
      </c>
      <c r="K56" s="78"/>
    </row>
    <row r="57" spans="1:11" x14ac:dyDescent="0.2">
      <c r="A57" s="78">
        <f>INT(A$66/100000)-10*A56-100*A55</f>
        <v>4</v>
      </c>
      <c r="B57" s="78"/>
      <c r="C57" s="83">
        <f t="shared" si="0"/>
        <v>1</v>
      </c>
      <c r="D57" s="83">
        <f t="shared" si="1"/>
        <v>0</v>
      </c>
      <c r="E57" s="84" t="str">
        <f>IF(A57=0,"",IF(A57=1,"sto ",IF(A57=2,"dwieście ",IF(A57=3,"trzysta ",IF(A57=4,"czterysta ",IF(A57=5,"pięćset ",""))))))</f>
        <v xml:space="preserve">czterysta </v>
      </c>
      <c r="F57" s="84" t="str">
        <f>IF(A57=6,"sześćset ",IF(A57=7,"siedemset ",IF(A57=8,"osiemset ",IF(A57=9,"dziewięćset ",""))))</f>
        <v/>
      </c>
      <c r="G57" s="78"/>
      <c r="H57" s="78"/>
      <c r="I57" s="78"/>
      <c r="J57" s="84" t="str">
        <f>IF(C57,E57&amp;I57,IF(D57,F57&amp;I57,""))</f>
        <v xml:space="preserve">czterysta </v>
      </c>
      <c r="K57" s="78"/>
    </row>
    <row r="58" spans="1:11" x14ac:dyDescent="0.2">
      <c r="A58" s="78">
        <f>INT(A$66/10000)-10*A57-100*A56-1000*A55</f>
        <v>7</v>
      </c>
      <c r="B58" s="78"/>
      <c r="C58" s="83">
        <f t="shared" si="0"/>
        <v>0</v>
      </c>
      <c r="D58" s="83">
        <f t="shared" si="1"/>
        <v>1</v>
      </c>
      <c r="E58" s="84" t="str">
        <f>IF(A58=0,"",IF(A58=1,IF(A59=0,"dziesięć tysięcy ",""),IF(A58=2,"dwadzieścia ",IF(A58=3,"trzydzieści ",IF(A58=4,"czterdzieści ",IF(A58=5,"pięćdziesiąt ",""))))))</f>
        <v/>
      </c>
      <c r="F58" s="84" t="str">
        <f>IF(A58=6,"sześćdziesiąt ",IF(A58=7,"siedemdziesiąt ",IF(A58=8,"osiemdziesiąt ",IF(A58=9,"dziewięćdziesiąt ",""))))</f>
        <v xml:space="preserve">siedemdziesiąt </v>
      </c>
      <c r="G58" s="78"/>
      <c r="H58" s="78"/>
      <c r="I58" s="78"/>
      <c r="J58" s="84" t="str">
        <f>IF(C58,E58&amp;I58,IF(D58,F58&amp;I58,""))</f>
        <v xml:space="preserve">siedemdziesiąt </v>
      </c>
      <c r="K58" s="78"/>
    </row>
    <row r="59" spans="1:11" x14ac:dyDescent="0.2">
      <c r="A59" s="79">
        <f>INT(A$66/1000)-10*A58-100*A57-1000*A56-10000*A55</f>
        <v>5</v>
      </c>
      <c r="B59" s="78"/>
      <c r="C59" s="83">
        <f t="shared" si="0"/>
        <v>1</v>
      </c>
      <c r="D59" s="83">
        <f t="shared" si="1"/>
        <v>0</v>
      </c>
      <c r="E59" s="84" t="str">
        <f>IF(A59=0,IF(OR(AND(A58&lt;&gt;0,A58&lt;&gt;1),AND(A57&lt;&gt;0,A58=0)),"tysięcy ",""),IF(A59=1,IF(AND(A57=0,A58=0),"jeden tysiąc ","jeden tysięcy "),IF(A59=2,"dwa tysiące ",IF(A59=3,"trzy tysiące ",IF(A59=4,"cztery tysiące ",IF(A59=5,"pięć tysięcy ",""))))))</f>
        <v xml:space="preserve">pięć tysięcy </v>
      </c>
      <c r="F59" s="84" t="str">
        <f>IF(A59=6,"sześć tysięcy ",IF(A59=7,"siedem tysięcy ",IF(A59=8,"osiem tysięcy ",IF(A59=9,"dziewięć tysięcy ",""))))</f>
        <v/>
      </c>
      <c r="G59" s="84" t="str">
        <f>IF(A59=0,"",IF(A59=1,"jedenaście tysięcy ",IF(A59=2,"dwanaście tysięcy ",IF(A59=3,"trzynaście tysięcy ",IF(A59=4,"czternaście tysięcy ",IF(A59=5,"piętnaście tysięcy ",""))))))</f>
        <v xml:space="preserve">piętnaście tysięcy </v>
      </c>
      <c r="H59" s="84" t="str">
        <f>IF(A59=6,"szesnaście tysięcy ",IF(A59=7,"siedemnaście tysięcy ",IF(A59=8,"osiemnaście tysięcy ",IF(A59=9,"dziewiętnaście tysięcy ",""))))</f>
        <v/>
      </c>
      <c r="I59" s="78"/>
      <c r="J59" s="84" t="str">
        <f>IF(A58=1,IF(C59,G59,IF(D59,H59)),IF(C59,E59,IF(D59,F59,"")))</f>
        <v xml:space="preserve">pięć tysięcy </v>
      </c>
      <c r="K59" s="78"/>
    </row>
    <row r="60" spans="1:11" x14ac:dyDescent="0.2">
      <c r="A60" s="78">
        <f>INT(A$66/100)-10*A59-100*A58-1000*A57-10000*A56-100000*A55</f>
        <v>0</v>
      </c>
      <c r="B60" s="78"/>
      <c r="C60" s="83">
        <f t="shared" si="0"/>
        <v>1</v>
      </c>
      <c r="D60" s="83">
        <f t="shared" si="1"/>
        <v>0</v>
      </c>
      <c r="E60" s="84" t="str">
        <f>IF(A60=0,"",IF(A60=1,"sto ",IF(A60=2,"dwieście ",IF(A60=3,"trzysta ",IF(A60=4,"czterysta ",IF(A60=5,"pięćset ",""))))))</f>
        <v/>
      </c>
      <c r="F60" s="84" t="str">
        <f>IF(A60=6,"sześćset ",IF(A60=7,"siedemset ",IF(A60=8,"osiemset ",IF(A60=9,"dziewięćset ",""))))</f>
        <v/>
      </c>
      <c r="G60" s="78"/>
      <c r="H60" s="78"/>
      <c r="I60" s="78"/>
      <c r="J60" s="84" t="str">
        <f>IF(C60,E60&amp;I60,IF(D60,F60&amp;I60,""))</f>
        <v/>
      </c>
      <c r="K60" s="78"/>
    </row>
    <row r="61" spans="1:11" x14ac:dyDescent="0.2">
      <c r="A61" s="78">
        <f>INT(A$66/10)-10*A60-100*A59-1000*A58-10000*A57-100000*A56-1000000*A55</f>
        <v>0</v>
      </c>
      <c r="B61" s="78"/>
      <c r="C61" s="83">
        <f t="shared" si="0"/>
        <v>1</v>
      </c>
      <c r="D61" s="83">
        <f t="shared" si="1"/>
        <v>0</v>
      </c>
      <c r="E61" s="84" t="str">
        <f>IF(A61=0,"",IF(A61=1,IF(A62=0,"dziesięć ",""),IF(A61=2,"dwadzieścia ",IF(A61=3,"trzydzieści ",IF(A61=4,"czterdzieści ",IF(A61=5,"pięćdziesiąt ",""))))))</f>
        <v/>
      </c>
      <c r="F61" s="84" t="str">
        <f>IF(A61=6,"sześćdziesiąt ",IF(A61=7,"siedemdziesiąt ",IF(A61=8,"osiemdziesiąt ",IF(A61=9,"dziewięćdziesiąt ",""))))</f>
        <v/>
      </c>
      <c r="G61" s="78"/>
      <c r="H61" s="78"/>
      <c r="I61" s="78"/>
      <c r="J61" s="84" t="str">
        <f>IF(C61,E61&amp;I61,IF(D61,F61&amp;I61,""))</f>
        <v/>
      </c>
      <c r="K61" s="78"/>
    </row>
    <row r="62" spans="1:11" x14ac:dyDescent="0.2">
      <c r="A62" s="79">
        <f>INT(A$66)-10*A61-100*A60-1000*A59-10000*A58-100000*A57-1000000*A56-10000000*A55</f>
        <v>0</v>
      </c>
      <c r="B62" s="78"/>
      <c r="C62" s="83">
        <f t="shared" si="0"/>
        <v>1</v>
      </c>
      <c r="D62" s="83">
        <f t="shared" si="1"/>
        <v>0</v>
      </c>
      <c r="E62" s="84" t="str">
        <f>IF(A62=0,"",IF(A62=1,"jeden ",IF(A62=2,"dwa ",IF(A62=3,"trzy ",IF(A62=4,"cztery ",IF(A62=5,"pięć ",""))))))</f>
        <v/>
      </c>
      <c r="F62" s="84" t="str">
        <f>IF(A62=6,"sześć ",IF(A62=7,"siedem ",IF(A62=8,"osiem ",IF(A62=9,"dziewięć ",""))))</f>
        <v/>
      </c>
      <c r="G62" s="84" t="str">
        <f>IF(A62=0,"",IF(A62=1,"jedenaście ",IF(A62=2,"dwanaście ",IF(A62=3,"trzynaście ",IF(A62=4,"czternaście ",IF(A62=5,"piętnaście ",""))))))</f>
        <v/>
      </c>
      <c r="H62" s="84" t="str">
        <f>IF(A62=6,"szesnaście ",IF(A62=7,"siedemnaście ",IF(A62=8,"osiemnaście ",IF(A62=9,"dziewiętnaście ",""))))</f>
        <v/>
      </c>
      <c r="I62" s="78"/>
      <c r="J62" s="84" t="str">
        <f>IF(A61=1,IF(C62,G62,IF(D62,H62)),IF(C62,E62,IF(D62,F62,"")))</f>
        <v/>
      </c>
      <c r="K62" s="78"/>
    </row>
    <row r="63" spans="1:11" x14ac:dyDescent="0.2">
      <c r="A63" s="85">
        <f>ROUND((A53-TRUNC(A53,0))*100,0)</f>
        <v>32</v>
      </c>
      <c r="B63" s="78"/>
      <c r="C63" s="78"/>
      <c r="D63" s="78"/>
      <c r="E63" s="78"/>
      <c r="F63" s="78"/>
      <c r="G63" s="78"/>
      <c r="H63" s="78"/>
      <c r="I63" s="78"/>
      <c r="J63" s="84" t="str">
        <f>"zł "&amp;A63&amp;"/100"</f>
        <v>zł 32/100</v>
      </c>
      <c r="K63" s="78"/>
    </row>
    <row r="64" spans="1:11" x14ac:dyDescent="0.2">
      <c r="A64" s="78"/>
      <c r="B64" s="78"/>
      <c r="C64" s="78"/>
      <c r="D64" s="78"/>
      <c r="E64" s="82" t="s">
        <v>5</v>
      </c>
      <c r="F64" s="78"/>
      <c r="G64" s="78"/>
      <c r="H64" s="78"/>
      <c r="I64" s="78"/>
      <c r="J64" s="78"/>
      <c r="K64" s="78"/>
    </row>
    <row r="65" spans="1:11" x14ac:dyDescent="0.2">
      <c r="A65" s="77">
        <f>TRUNC(A53,1)</f>
        <v>292152.3</v>
      </c>
      <c r="B65" s="78"/>
      <c r="C65" s="78"/>
      <c r="D65" s="78"/>
      <c r="E65" s="84" t="str">
        <f>J55&amp;J56&amp;J57&amp;J58&amp;J59&amp;J60&amp;J61&amp;J62&amp;J63</f>
        <v>jeden milion czterysta siedemdziesiąt pięć tysięcy zł 32/100</v>
      </c>
      <c r="F65" s="84"/>
      <c r="G65" s="84"/>
      <c r="H65" s="84"/>
      <c r="I65" s="84"/>
      <c r="J65" s="84"/>
      <c r="K65" s="78"/>
    </row>
    <row r="66" spans="1:11" x14ac:dyDescent="0.2">
      <c r="A66" s="77">
        <f>'5.2. Brzeziny - Dół Płn.'!E26</f>
        <v>1475000</v>
      </c>
      <c r="B66" s="78"/>
      <c r="C66" s="78"/>
      <c r="D66" s="78"/>
      <c r="E66" s="78"/>
      <c r="F66" s="78"/>
      <c r="G66" s="366" t="s">
        <v>108</v>
      </c>
      <c r="H66" s="366"/>
      <c r="I66" s="78"/>
      <c r="J66" s="78"/>
      <c r="K66" s="78"/>
    </row>
    <row r="67" spans="1:11" x14ac:dyDescent="0.2">
      <c r="A67" s="79"/>
      <c r="B67" s="78"/>
      <c r="C67" s="80" t="s">
        <v>109</v>
      </c>
      <c r="D67" s="81" t="s">
        <v>110</v>
      </c>
      <c r="E67" s="80" t="s">
        <v>109</v>
      </c>
      <c r="F67" s="81" t="s">
        <v>110</v>
      </c>
      <c r="G67" s="80" t="s">
        <v>109</v>
      </c>
      <c r="H67" s="81" t="s">
        <v>110</v>
      </c>
      <c r="I67" s="88" t="s">
        <v>111</v>
      </c>
      <c r="J67" s="82" t="s">
        <v>112</v>
      </c>
      <c r="K67" s="78"/>
    </row>
    <row r="68" spans="1:11" x14ac:dyDescent="0.2">
      <c r="A68" s="78">
        <f>INT(A$66/10000000)</f>
        <v>0</v>
      </c>
      <c r="B68" s="78"/>
      <c r="C68" s="83">
        <f>IF(AND(A68&gt;=0,A68&lt;=5),1,0)</f>
        <v>1</v>
      </c>
      <c r="D68" s="83">
        <f>IF(AND(A68&gt;=6,A68&lt;=9),1,0)</f>
        <v>0</v>
      </c>
      <c r="E68" s="84" t="str">
        <f>IF(A68=0,"",IF(A68=1,IF(A69=0,"dziesięć milionów ",""),IF(A68=2,"dwadzieścia ",IF(A68=3,"trzydzieści ",IF(A68=4,"czterdzieści ",IF(A68=5,"pięćdziesiąt ",""))))))</f>
        <v/>
      </c>
      <c r="F68" s="84" t="str">
        <f>IF(A68=6,"sześćdziesiąt ",IF(A68=7,"siedemdziesiąt ",IF(A68=8,"osiemdziesiąt ",IF(A68=9,"dziewięćdziesiąt ",""))))</f>
        <v/>
      </c>
      <c r="G68" s="78"/>
      <c r="H68" s="78"/>
      <c r="I68" s="78"/>
      <c r="J68" s="84" t="str">
        <f>IF(C68,E68&amp;I68,IF(D68,F68&amp;I68,""))</f>
        <v/>
      </c>
      <c r="K68" s="78"/>
    </row>
    <row r="69" spans="1:11" x14ac:dyDescent="0.2">
      <c r="A69" s="79">
        <f>INT(A$66/1000000)-A68*10</f>
        <v>1</v>
      </c>
      <c r="B69" s="78"/>
      <c r="C69" s="83">
        <f t="shared" ref="C69:C75" si="2">IF(AND(A69&gt;=0,A69&lt;=5),1,0)</f>
        <v>1</v>
      </c>
      <c r="D69" s="83">
        <f t="shared" ref="D69:D75" si="3">IF(AND(A69&gt;=6,A69&lt;=9),1,0)</f>
        <v>0</v>
      </c>
      <c r="E69" s="84" t="str">
        <f>IF(A69=0,IF(AND(A68&lt;&gt;0,A68&lt;&gt;1),"milionów ",""),IF(A69=1,IF(A68=0,"jeden milion ","jeden milionów "),IF(A69=2,"dwa miliony ",IF(A69=3,"trzy miliony ",IF(A69=4,"cztery miliony ",IF(A69=5,"pięć milionów ",""))))))</f>
        <v xml:space="preserve">jeden milion </v>
      </c>
      <c r="F69" s="84" t="str">
        <f>IF(A69=6,"sześć milionów ",IF(A69=7,"siedem milionów ",IF(A69=8,"osiem milionów ",IF(A69=9,"dziewięć milionów ",""))))</f>
        <v/>
      </c>
      <c r="G69" s="84" t="str">
        <f>IF(A69=0,"",IF(A69=1,"jedenaście milionów ",IF(A69=2,"dwanaście milionów ",IF(A69=3,"trzynaście milionów ",IF(A69=4,"czternaście milionów ",IF(A69=5,"piętnaście milionów ",""))))))</f>
        <v xml:space="preserve">jedenaście milionów </v>
      </c>
      <c r="H69" s="84" t="str">
        <f>IF(A69=6,"szesnaście milionów ",IF(A69=7,"siedemnaście milionów ",IF(A69=8,"osiemnaście milionów ",IF(A69=9,"dziewiętnaście milionów ",""))))</f>
        <v/>
      </c>
      <c r="I69" s="78"/>
      <c r="J69" s="84" t="str">
        <f>IF(A68=1,IF(C69,G69,IF(D69,H69)),IF(C69,E69,IF(D69,F69,"")))</f>
        <v xml:space="preserve">jeden milion </v>
      </c>
      <c r="K69" s="78"/>
    </row>
    <row r="70" spans="1:11" x14ac:dyDescent="0.2">
      <c r="A70" s="78">
        <f>INT(A$66/100000)-10*A69-100*A68</f>
        <v>4</v>
      </c>
      <c r="B70" s="78"/>
      <c r="C70" s="83">
        <f t="shared" si="2"/>
        <v>1</v>
      </c>
      <c r="D70" s="83">
        <f t="shared" si="3"/>
        <v>0</v>
      </c>
      <c r="E70" s="84" t="str">
        <f>IF(A70=0,"",IF(A70=1,"sto ",IF(A70=2,"dwieście ",IF(A70=3,"trzysta ",IF(A70=4,"czterysta ",IF(A70=5,"pięćset ",""))))))</f>
        <v xml:space="preserve">czterysta </v>
      </c>
      <c r="F70" s="84" t="str">
        <f>IF(A70=6,"sześćset ",IF(A70=7,"siedemset ",IF(A70=8,"osiemset ",IF(A70=9,"dziewięćset ",""))))</f>
        <v/>
      </c>
      <c r="G70" s="78"/>
      <c r="H70" s="78"/>
      <c r="I70" s="78"/>
      <c r="J70" s="84" t="str">
        <f>IF(C70,E70&amp;I70,IF(D70,F70&amp;I70,""))</f>
        <v xml:space="preserve">czterysta </v>
      </c>
      <c r="K70" s="78"/>
    </row>
    <row r="71" spans="1:11" x14ac:dyDescent="0.2">
      <c r="A71" s="78">
        <f>INT(A$66/10000)-10*A70-100*A69-1000*A68</f>
        <v>7</v>
      </c>
      <c r="B71" s="78"/>
      <c r="C71" s="83">
        <f t="shared" si="2"/>
        <v>0</v>
      </c>
      <c r="D71" s="83">
        <f t="shared" si="3"/>
        <v>1</v>
      </c>
      <c r="E71" s="84" t="str">
        <f>IF(A71=0,"",IF(A71=1,IF(A72=0,"dziesięć tysięcy ",""),IF(A71=2,"dwadzieścia ",IF(A71=3,"trzydzieści ",IF(A71=4,"czterdzieści ",IF(A71=5,"pięćdziesiąt ",""))))))</f>
        <v/>
      </c>
      <c r="F71" s="84" t="str">
        <f>IF(A71=6,"sześćdziesiąt ",IF(A71=7,"siedemdziesiąt ",IF(A71=8,"osiemdziesiąt ",IF(A71=9,"dziewięćdziesiąt ",""))))</f>
        <v xml:space="preserve">siedemdziesiąt </v>
      </c>
      <c r="G71" s="78"/>
      <c r="H71" s="78"/>
      <c r="I71" s="78"/>
      <c r="J71" s="84" t="str">
        <f>IF(C71,E71&amp;I71,IF(D71,F71&amp;I71,""))</f>
        <v xml:space="preserve">siedemdziesiąt </v>
      </c>
      <c r="K71" s="78"/>
    </row>
    <row r="72" spans="1:11" x14ac:dyDescent="0.2">
      <c r="A72" s="79">
        <f>INT(A$66/1000)-10*A71-100*A70-1000*A69-10000*A68</f>
        <v>5</v>
      </c>
      <c r="B72" s="78"/>
      <c r="C72" s="83">
        <f t="shared" si="2"/>
        <v>1</v>
      </c>
      <c r="D72" s="83">
        <f t="shared" si="3"/>
        <v>0</v>
      </c>
      <c r="E72" s="84" t="str">
        <f>IF(A72=0,IF(OR(AND(A71&lt;&gt;0,A71&lt;&gt;1),AND(A70&lt;&gt;0,A71=0)),"tysięcy ",""),IF(A72=1,IF(AND(A70=0,A71=0),"jeden tysiąc ","jeden tysięcy "),IF(A72=2,"dwa tysiące ",IF(A72=3,"trzy tysiące ",IF(A72=4,"cztery tysiące ",IF(A72=5,"pięć tysięcy ",""))))))</f>
        <v xml:space="preserve">pięć tysięcy </v>
      </c>
      <c r="F72" s="84" t="str">
        <f>IF(A72=6,"sześć tysięcy ",IF(A72=7,"siedem tysięcy ",IF(A72=8,"osiem tysięcy ",IF(A72=9,"dziewięć tysięcy ",""))))</f>
        <v/>
      </c>
      <c r="G72" s="84" t="str">
        <f>IF(A72=0,"",IF(A72=1,"jedenaście tysięcy ",IF(A72=2,"dwanaście tysięcy ",IF(A72=3,"trzynaście tysięcy ",IF(A72=4,"czternaście tysięcy ",IF(A72=5,"piętnaście tysięcy ",""))))))</f>
        <v xml:space="preserve">piętnaście tysięcy </v>
      </c>
      <c r="H72" s="84" t="str">
        <f>IF(A72=6,"szesnaście tysięcy ",IF(A72=7,"siedemnaście tysięcy ",IF(A72=8,"osiemnaście tysięcy ",IF(A72=9,"dziewiętnaście tysięcy ",""))))</f>
        <v/>
      </c>
      <c r="I72" s="78"/>
      <c r="J72" s="84" t="str">
        <f>IF(A71=1,IF(C72,G72,IF(D72,H72)),IF(C72,E72,IF(D72,F72,"")))</f>
        <v xml:space="preserve">pięć tysięcy </v>
      </c>
      <c r="K72" s="78"/>
    </row>
    <row r="73" spans="1:11" x14ac:dyDescent="0.2">
      <c r="A73" s="78">
        <f>INT(A$66/100)-10*A72-100*A71-1000*A70-10000*A69-100000*A68</f>
        <v>0</v>
      </c>
      <c r="B73" s="78"/>
      <c r="C73" s="83">
        <f t="shared" si="2"/>
        <v>1</v>
      </c>
      <c r="D73" s="83">
        <f t="shared" si="3"/>
        <v>0</v>
      </c>
      <c r="E73" s="84" t="str">
        <f>IF(A73=0,"",IF(A73=1,"sto ",IF(A73=2,"dwieście ",IF(A73=3,"trzysta ",IF(A73=4,"czterysta ",IF(A73=5,"pięćset ",""))))))</f>
        <v/>
      </c>
      <c r="F73" s="84" t="str">
        <f>IF(A73=6,"sześćset ",IF(A73=7,"siedemset ",IF(A73=8,"osiemset ",IF(A73=9,"dziewięćset ",""))))</f>
        <v/>
      </c>
      <c r="G73" s="78"/>
      <c r="H73" s="78"/>
      <c r="I73" s="78"/>
      <c r="J73" s="84" t="str">
        <f>IF(C73,E73&amp;I73,IF(D73,F73&amp;I73,""))</f>
        <v/>
      </c>
      <c r="K73" s="78"/>
    </row>
    <row r="74" spans="1:11" x14ac:dyDescent="0.2">
      <c r="A74" s="78">
        <f>INT(A$66/10)-10*A73-100*A72-1000*A71-10000*A70-100000*A69-1000000*A68</f>
        <v>0</v>
      </c>
      <c r="B74" s="78"/>
      <c r="C74" s="83">
        <f t="shared" si="2"/>
        <v>1</v>
      </c>
      <c r="D74" s="83">
        <f t="shared" si="3"/>
        <v>0</v>
      </c>
      <c r="E74" s="84" t="str">
        <f>IF(A74=0,"",IF(A74=1,IF(A75=0,"dziesięć ",""),IF(A74=2,"dwadzieścia ",IF(A74=3,"trzydzieści ",IF(A74=4,"czterdzieści ",IF(A74=5,"pięćdziesiąt ",""))))))</f>
        <v/>
      </c>
      <c r="F74" s="84" t="str">
        <f>IF(A74=6,"sześćdziesiąt ",IF(A74=7,"siedemdziesiąt ",IF(A74=8,"osiemdziesiąt ",IF(A74=9,"dziewięćdziesiąt ",""))))</f>
        <v/>
      </c>
      <c r="G74" s="78"/>
      <c r="H74" s="78"/>
      <c r="I74" s="78"/>
      <c r="J74" s="84" t="str">
        <f>IF(C74,E74&amp;I74,IF(D74,F74&amp;I74,""))</f>
        <v/>
      </c>
      <c r="K74" s="78"/>
    </row>
    <row r="75" spans="1:11" x14ac:dyDescent="0.2">
      <c r="A75" s="79">
        <f>INT(A$66)-10*A74-100*A73-1000*A72-10000*A71-100000*A70-1000000*A69-10000000*A68</f>
        <v>0</v>
      </c>
      <c r="B75" s="78"/>
      <c r="C75" s="83">
        <f t="shared" si="2"/>
        <v>1</v>
      </c>
      <c r="D75" s="83">
        <f t="shared" si="3"/>
        <v>0</v>
      </c>
      <c r="E75" s="84" t="str">
        <f>IF(A75=0,"",IF(A75=1,"jeden ",IF(A75=2,"dwa ",IF(A75=3,"trzy ",IF(A75=4,"cztery ",IF(A75=5,"pięć ",""))))))</f>
        <v/>
      </c>
      <c r="F75" s="84" t="str">
        <f>IF(A75=6,"sześć ",IF(A75=7,"siedem ",IF(A75=8,"osiem ",IF(A75=9,"dziewięć ",""))))</f>
        <v/>
      </c>
      <c r="G75" s="84" t="str">
        <f>IF(A75=0,"",IF(A75=1,"jedenaście ",IF(A75=2,"dwanaście ",IF(A75=3,"trzynaście ",IF(A75=4,"czternaście ",IF(A75=5,"piętnaście ",""))))))</f>
        <v/>
      </c>
      <c r="H75" s="84" t="str">
        <f>IF(A75=6,"szesnaście ",IF(A75=7,"siedemnaście ",IF(A75=8,"osiemnaście ",IF(A75=9,"dziewiętnaście ",""))))</f>
        <v/>
      </c>
      <c r="I75" s="78"/>
      <c r="J75" s="84" t="str">
        <f>IF(A74=1,IF(C75,G75,IF(D75,H75)),IF(C75,E75,IF(D75,F75,"")))</f>
        <v/>
      </c>
      <c r="K75" s="78"/>
    </row>
    <row r="76" spans="1:11" x14ac:dyDescent="0.2">
      <c r="A76" s="85">
        <f>ROUND((A66-TRUNC(A66,0))*100,0)</f>
        <v>0</v>
      </c>
      <c r="B76" s="78"/>
      <c r="C76" s="78"/>
      <c r="D76" s="78"/>
      <c r="E76" s="78"/>
      <c r="F76" s="78"/>
      <c r="G76" s="78"/>
      <c r="H76" s="78"/>
      <c r="I76" s="78"/>
      <c r="J76" s="84" t="str">
        <f>"zł "&amp;A76&amp;"/100"</f>
        <v>zł 0/100</v>
      </c>
      <c r="K76" s="78"/>
    </row>
    <row r="77" spans="1:11" x14ac:dyDescent="0.2">
      <c r="A77" s="78"/>
      <c r="B77" s="78"/>
      <c r="C77" s="78"/>
      <c r="D77" s="78"/>
      <c r="E77" s="82" t="s">
        <v>5</v>
      </c>
      <c r="F77" s="78"/>
      <c r="G77" s="78"/>
      <c r="H77" s="78"/>
      <c r="I77" s="78"/>
      <c r="J77" s="78"/>
      <c r="K77" s="78"/>
    </row>
    <row r="78" spans="1:11" x14ac:dyDescent="0.2">
      <c r="A78" s="77">
        <f>TRUNC(A66,1)</f>
        <v>1475000</v>
      </c>
      <c r="B78" s="78"/>
      <c r="C78" s="78"/>
      <c r="D78" s="78"/>
      <c r="E78" s="84" t="str">
        <f>J68&amp;J69&amp;J70&amp;J71&amp;J72&amp;J73&amp;J74&amp;J75&amp;J76</f>
        <v>jeden milion czterysta siedemdziesiąt pięć tysięcy zł 0/100</v>
      </c>
      <c r="F78" s="84"/>
      <c r="G78" s="84"/>
      <c r="H78" s="84"/>
      <c r="I78" s="84"/>
      <c r="J78" s="84"/>
      <c r="K78" s="78"/>
    </row>
  </sheetData>
  <mergeCells count="21">
    <mergeCell ref="B12:I12"/>
    <mergeCell ref="A3:I3"/>
    <mergeCell ref="B5:I5"/>
    <mergeCell ref="B7:I7"/>
    <mergeCell ref="B9:I9"/>
    <mergeCell ref="B11:I11"/>
    <mergeCell ref="B13:I13"/>
    <mergeCell ref="B15:I15"/>
    <mergeCell ref="A16:A18"/>
    <mergeCell ref="B16:I16"/>
    <mergeCell ref="B17:I17"/>
    <mergeCell ref="B18:I18"/>
    <mergeCell ref="B34:C34"/>
    <mergeCell ref="G53:H53"/>
    <mergeCell ref="G66:H66"/>
    <mergeCell ref="A19:D19"/>
    <mergeCell ref="E19:I19"/>
    <mergeCell ref="B20:I20"/>
    <mergeCell ref="A22:D22"/>
    <mergeCell ref="E22:I22"/>
    <mergeCell ref="B24:I24"/>
  </mergeCells>
  <pageMargins left="0.7" right="0.7" top="0.75" bottom="0.75" header="0.3" footer="0.3"/>
  <pageSetup paperSize="9" scale="6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83"/>
  <sheetViews>
    <sheetView workbookViewId="0"/>
  </sheetViews>
  <sheetFormatPr defaultRowHeight="12.75" x14ac:dyDescent="0.2"/>
  <cols>
    <col min="1" max="1" width="6.7109375" customWidth="1"/>
    <col min="2" max="2" width="14" customWidth="1"/>
    <col min="4" max="4" width="106.5703125" customWidth="1"/>
    <col min="5" max="5" width="29.140625" customWidth="1"/>
    <col min="7" max="7" width="30.42578125" customWidth="1"/>
  </cols>
  <sheetData>
    <row r="2" spans="1:8" ht="13.5" thickBot="1" x14ac:dyDescent="0.25"/>
    <row r="3" spans="1:8" ht="27" customHeight="1" thickBot="1" x14ac:dyDescent="0.25">
      <c r="A3" s="398" t="s">
        <v>121</v>
      </c>
      <c r="B3" s="399"/>
      <c r="C3" s="399"/>
      <c r="D3" s="399"/>
      <c r="E3" s="400"/>
    </row>
    <row r="4" spans="1:8" ht="18.75" x14ac:dyDescent="0.2">
      <c r="B4" s="401"/>
      <c r="C4" s="401"/>
      <c r="D4" s="401"/>
      <c r="E4" s="401"/>
    </row>
    <row r="5" spans="1:8" ht="93.75" customHeight="1" thickBot="1" x14ac:dyDescent="0.25">
      <c r="A5" s="402" t="s">
        <v>142</v>
      </c>
      <c r="B5" s="402"/>
      <c r="C5" s="403" t="s">
        <v>146</v>
      </c>
      <c r="D5" s="403"/>
      <c r="E5" s="403"/>
    </row>
    <row r="6" spans="1:8" ht="37.5" customHeight="1" x14ac:dyDescent="0.2">
      <c r="A6" s="13" t="s">
        <v>18</v>
      </c>
      <c r="B6" s="14" t="s">
        <v>6</v>
      </c>
      <c r="C6" s="404" t="s">
        <v>7</v>
      </c>
      <c r="D6" s="405"/>
      <c r="E6" s="19" t="s">
        <v>8</v>
      </c>
    </row>
    <row r="7" spans="1:8" ht="37.5" customHeight="1" x14ac:dyDescent="0.2">
      <c r="A7" s="94" t="s">
        <v>122</v>
      </c>
      <c r="B7" s="95" t="s">
        <v>1</v>
      </c>
      <c r="C7" s="396" t="s">
        <v>123</v>
      </c>
      <c r="D7" s="397"/>
      <c r="E7" s="96" t="s">
        <v>122</v>
      </c>
    </row>
    <row r="8" spans="1:8" ht="138.75" customHeight="1" x14ac:dyDescent="0.2">
      <c r="A8" s="98">
        <v>1</v>
      </c>
      <c r="B8" s="99" t="s">
        <v>12</v>
      </c>
      <c r="C8" s="376" t="s">
        <v>130</v>
      </c>
      <c r="D8" s="392"/>
      <c r="E8" s="21">
        <v>102000</v>
      </c>
    </row>
    <row r="9" spans="1:8" ht="37.5" customHeight="1" x14ac:dyDescent="0.2">
      <c r="A9" s="92"/>
      <c r="B9" s="93"/>
      <c r="C9" s="393" t="s">
        <v>24</v>
      </c>
      <c r="D9" s="382"/>
      <c r="E9" s="100">
        <f>E8</f>
        <v>102000</v>
      </c>
      <c r="F9" s="97"/>
      <c r="G9" s="97"/>
    </row>
    <row r="10" spans="1:8" ht="27.75" customHeight="1" x14ac:dyDescent="0.2">
      <c r="A10" s="15" t="s">
        <v>2</v>
      </c>
      <c r="B10" s="9" t="s">
        <v>3</v>
      </c>
      <c r="C10" s="389" t="s">
        <v>22</v>
      </c>
      <c r="D10" s="390"/>
      <c r="E10" s="20" t="s">
        <v>2</v>
      </c>
    </row>
    <row r="11" spans="1:8" ht="33" customHeight="1" x14ac:dyDescent="0.2">
      <c r="A11" s="16">
        <v>2</v>
      </c>
      <c r="B11" s="10" t="s">
        <v>13</v>
      </c>
      <c r="C11" s="394" t="s">
        <v>9</v>
      </c>
      <c r="D11" s="395"/>
      <c r="E11" s="21">
        <v>10500</v>
      </c>
    </row>
    <row r="12" spans="1:8" ht="24" customHeight="1" x14ac:dyDescent="0.2">
      <c r="A12" s="377" t="s">
        <v>25</v>
      </c>
      <c r="B12" s="378"/>
      <c r="C12" s="378"/>
      <c r="D12" s="382"/>
      <c r="E12" s="23">
        <f>E11</f>
        <v>10500</v>
      </c>
    </row>
    <row r="13" spans="1:8" ht="27.75" customHeight="1" x14ac:dyDescent="0.2">
      <c r="A13" s="15" t="s">
        <v>2</v>
      </c>
      <c r="B13" s="9" t="s">
        <v>3</v>
      </c>
      <c r="C13" s="389" t="s">
        <v>124</v>
      </c>
      <c r="D13" s="390"/>
      <c r="E13" s="20" t="s">
        <v>2</v>
      </c>
    </row>
    <row r="14" spans="1:8" ht="78" customHeight="1" x14ac:dyDescent="0.2">
      <c r="A14" s="16">
        <v>3</v>
      </c>
      <c r="B14" s="10" t="s">
        <v>14</v>
      </c>
      <c r="C14" s="385" t="s">
        <v>126</v>
      </c>
      <c r="D14" s="386"/>
      <c r="E14" s="21">
        <v>25000</v>
      </c>
    </row>
    <row r="15" spans="1:8" ht="41.25" customHeight="1" x14ac:dyDescent="0.2">
      <c r="A15" s="16">
        <v>4</v>
      </c>
      <c r="B15" s="10" t="s">
        <v>10</v>
      </c>
      <c r="C15" s="386" t="s">
        <v>125</v>
      </c>
      <c r="D15" s="391"/>
      <c r="E15" s="21">
        <v>30000</v>
      </c>
      <c r="G15" s="91"/>
      <c r="H15" s="86"/>
    </row>
    <row r="16" spans="1:8" ht="114.75" customHeight="1" x14ac:dyDescent="0.2">
      <c r="A16" s="16">
        <v>5</v>
      </c>
      <c r="B16" s="10" t="s">
        <v>11</v>
      </c>
      <c r="C16" s="386" t="s">
        <v>148</v>
      </c>
      <c r="D16" s="391"/>
      <c r="E16" s="21">
        <v>76000</v>
      </c>
    </row>
    <row r="17" spans="1:10" ht="67.5" customHeight="1" x14ac:dyDescent="0.2">
      <c r="A17" s="16">
        <v>6</v>
      </c>
      <c r="B17" s="10" t="s">
        <v>15</v>
      </c>
      <c r="C17" s="386" t="s">
        <v>150</v>
      </c>
      <c r="D17" s="391"/>
      <c r="E17" s="21">
        <f>585400-25100</f>
        <v>560300</v>
      </c>
    </row>
    <row r="18" spans="1:10" ht="90" customHeight="1" x14ac:dyDescent="0.2">
      <c r="A18" s="16">
        <v>7</v>
      </c>
      <c r="B18" s="10" t="s">
        <v>16</v>
      </c>
      <c r="C18" s="375" t="s">
        <v>147</v>
      </c>
      <c r="D18" s="376"/>
      <c r="E18" s="21">
        <v>500100</v>
      </c>
      <c r="I18" s="87"/>
    </row>
    <row r="19" spans="1:10" ht="60.75" customHeight="1" x14ac:dyDescent="0.2">
      <c r="A19" s="16">
        <v>8</v>
      </c>
      <c r="B19" s="10" t="s">
        <v>21</v>
      </c>
      <c r="C19" s="387" t="s">
        <v>151</v>
      </c>
      <c r="D19" s="388"/>
      <c r="E19" s="21">
        <v>41100</v>
      </c>
      <c r="I19" s="87"/>
    </row>
    <row r="20" spans="1:10" ht="89.25" customHeight="1" x14ac:dyDescent="0.2">
      <c r="A20" s="16">
        <v>9</v>
      </c>
      <c r="B20" s="10" t="s">
        <v>1</v>
      </c>
      <c r="C20" s="375" t="s">
        <v>149</v>
      </c>
      <c r="D20" s="376"/>
      <c r="E20" s="21">
        <v>110000</v>
      </c>
      <c r="I20" s="87"/>
    </row>
    <row r="21" spans="1:10" ht="75" customHeight="1" x14ac:dyDescent="0.2">
      <c r="A21" s="16">
        <v>10</v>
      </c>
      <c r="B21" s="101" t="s">
        <v>136</v>
      </c>
      <c r="C21" s="376" t="s">
        <v>127</v>
      </c>
      <c r="D21" s="381"/>
      <c r="E21" s="21">
        <v>8000</v>
      </c>
      <c r="H21" s="86"/>
    </row>
    <row r="22" spans="1:10" ht="27" customHeight="1" x14ac:dyDescent="0.2">
      <c r="A22" s="377" t="s">
        <v>131</v>
      </c>
      <c r="B22" s="378"/>
      <c r="C22" s="378"/>
      <c r="D22" s="382"/>
      <c r="E22" s="23">
        <f>SUM(E14:E21)</f>
        <v>1350500</v>
      </c>
    </row>
    <row r="23" spans="1:10" ht="39" customHeight="1" x14ac:dyDescent="0.2">
      <c r="A23" s="17" t="s">
        <v>2</v>
      </c>
      <c r="B23" s="18" t="s">
        <v>132</v>
      </c>
      <c r="C23" s="383" t="s">
        <v>128</v>
      </c>
      <c r="D23" s="384"/>
      <c r="E23" s="22" t="s">
        <v>2</v>
      </c>
    </row>
    <row r="24" spans="1:10" ht="32.25" customHeight="1" x14ac:dyDescent="0.2">
      <c r="A24" s="16">
        <v>11</v>
      </c>
      <c r="B24" s="10" t="s">
        <v>141</v>
      </c>
      <c r="C24" s="385" t="s">
        <v>129</v>
      </c>
      <c r="D24" s="386"/>
      <c r="E24" s="21">
        <v>12000</v>
      </c>
    </row>
    <row r="25" spans="1:10" ht="25.5" customHeight="1" x14ac:dyDescent="0.2">
      <c r="A25" s="377" t="s">
        <v>133</v>
      </c>
      <c r="B25" s="378"/>
      <c r="C25" s="378"/>
      <c r="D25" s="382"/>
      <c r="E25" s="23">
        <f>E24</f>
        <v>12000</v>
      </c>
    </row>
    <row r="26" spans="1:10" ht="25.5" customHeight="1" x14ac:dyDescent="0.2">
      <c r="A26" s="377" t="s">
        <v>152</v>
      </c>
      <c r="B26" s="378"/>
      <c r="C26" s="378"/>
      <c r="D26" s="378"/>
      <c r="E26" s="23">
        <f>E25+E22+E12+E9</f>
        <v>1475000</v>
      </c>
      <c r="G26" s="86">
        <f>E26-E9</f>
        <v>1373000</v>
      </c>
      <c r="H26">
        <f>G26*0.08</f>
        <v>109840</v>
      </c>
      <c r="J26" s="25"/>
    </row>
    <row r="27" spans="1:10" ht="23.25" customHeight="1" x14ac:dyDescent="0.2">
      <c r="A27" s="377" t="s">
        <v>17</v>
      </c>
      <c r="B27" s="378"/>
      <c r="C27" s="378"/>
      <c r="D27" s="378"/>
      <c r="E27" s="23">
        <f>E26*0.23</f>
        <v>339250</v>
      </c>
    </row>
    <row r="28" spans="1:10" ht="23.25" customHeight="1" thickBot="1" x14ac:dyDescent="0.25">
      <c r="A28" s="379" t="s">
        <v>138</v>
      </c>
      <c r="B28" s="380"/>
      <c r="C28" s="380"/>
      <c r="D28" s="380"/>
      <c r="E28" s="24">
        <f>E26+E27</f>
        <v>1814250</v>
      </c>
    </row>
    <row r="29" spans="1:10" ht="23.25" customHeight="1" x14ac:dyDescent="0.2"/>
    <row r="62" spans="7:7" x14ac:dyDescent="0.2">
      <c r="G62" s="88" t="s">
        <v>108</v>
      </c>
    </row>
    <row r="63" spans="7:7" x14ac:dyDescent="0.2">
      <c r="G63" s="80" t="s">
        <v>109</v>
      </c>
    </row>
    <row r="64" spans="7:7" x14ac:dyDescent="0.2">
      <c r="G64" s="78"/>
    </row>
    <row r="65" spans="1:11" x14ac:dyDescent="0.2">
      <c r="G65" s="84" t="str">
        <f>IF(A73=0,"",IF(A73=1,"jedenaście milionów ",IF(A73=2,"dwanaście milionów ",IF(A73=3,"trzynaście milionów ",IF(A73=4,"czternaście milionów ",IF(A73=5,"piętnaście milionów ",""))))))</f>
        <v xml:space="preserve">jedenaście milionów </v>
      </c>
    </row>
    <row r="66" spans="1:11" x14ac:dyDescent="0.2">
      <c r="G66" s="78"/>
    </row>
    <row r="67" spans="1:11" x14ac:dyDescent="0.2">
      <c r="G67" s="78"/>
    </row>
    <row r="68" spans="1:11" x14ac:dyDescent="0.2">
      <c r="G68" s="84" t="str">
        <f>IF(A76=0,"",IF(A76=1,"jedenaście tysięcy ",IF(A76=2,"dwanaście tysięcy ",IF(A76=3,"trzynaście tysięcy ",IF(A76=4,"czternaście tysięcy ",IF(A76=5,"piętnaście tysięcy ",""))))))</f>
        <v xml:space="preserve">czternaście tysięcy </v>
      </c>
    </row>
    <row r="69" spans="1:11" x14ac:dyDescent="0.2">
      <c r="G69" s="78"/>
    </row>
    <row r="70" spans="1:11" x14ac:dyDescent="0.2">
      <c r="A70" s="77">
        <f>E28</f>
        <v>1814250</v>
      </c>
      <c r="B70" s="78"/>
      <c r="C70" s="78"/>
      <c r="D70" s="78"/>
      <c r="E70" s="78"/>
      <c r="G70" s="78"/>
    </row>
    <row r="71" spans="1:11" x14ac:dyDescent="0.2">
      <c r="A71" s="79"/>
      <c r="B71" s="78"/>
      <c r="C71" s="80" t="s">
        <v>109</v>
      </c>
      <c r="D71" s="81" t="s">
        <v>110</v>
      </c>
      <c r="E71" s="80" t="s">
        <v>109</v>
      </c>
      <c r="F71" s="78"/>
      <c r="G71" s="84" t="str">
        <f>IF(A79=0,"",IF(A79=1,"jedenaście ",IF(A79=2,"dwanaście ",IF(A79=3,"trzynaście ",IF(A79=4,"czternaście ",IF(A79=5,"piętnaście ",""))))))</f>
        <v/>
      </c>
      <c r="H71" s="88"/>
      <c r="I71" s="78"/>
      <c r="J71" s="78"/>
      <c r="K71" s="78"/>
    </row>
    <row r="72" spans="1:11" x14ac:dyDescent="0.2">
      <c r="A72" s="78">
        <f>INT(A$70/10000000)</f>
        <v>0</v>
      </c>
      <c r="B72" s="78"/>
      <c r="C72" s="83">
        <f>IF(AND(A72&gt;=0,A72&lt;=5),1,0)</f>
        <v>1</v>
      </c>
      <c r="D72" s="83">
        <f>IF(AND(A72&gt;=6,A72&lt;=9),1,0)</f>
        <v>0</v>
      </c>
      <c r="E72" s="84" t="str">
        <f>IF(A72=0,"",IF(A72=1,IF(A73=0,"dziesięć milionów ",""),IF(A72=2,"dwadzieścia ",IF(A72=3,"trzydzieści ",IF(A72=4,"czterdzieści ",IF(A72=5,"pięćdziesiąt ",""))))))</f>
        <v/>
      </c>
      <c r="F72" s="81" t="s">
        <v>110</v>
      </c>
      <c r="G72" s="78"/>
      <c r="H72" s="81" t="s">
        <v>110</v>
      </c>
      <c r="I72" s="88" t="s">
        <v>111</v>
      </c>
      <c r="J72" s="82" t="s">
        <v>112</v>
      </c>
      <c r="K72" s="78"/>
    </row>
    <row r="73" spans="1:11" x14ac:dyDescent="0.2">
      <c r="A73" s="79">
        <f>INT(A$70/1000000)-A72*10</f>
        <v>1</v>
      </c>
      <c r="B73" s="78"/>
      <c r="C73" s="83">
        <f t="shared" ref="C73:C79" si="0">IF(AND(A73&gt;=0,A73&lt;=5),1,0)</f>
        <v>1</v>
      </c>
      <c r="D73" s="83">
        <f t="shared" ref="D73:D79" si="1">IF(AND(A73&gt;=6,A73&lt;=9),1,0)</f>
        <v>0</v>
      </c>
      <c r="E73" s="84" t="str">
        <f>IF(A73=0,IF(AND(A72&lt;&gt;0,A72&lt;&gt;1),"milionów ",""),IF(A73=1,IF(A72=0,"jeden milion ","jeden milionów "),IF(A73=2,"dwa miliony ",IF(A73=3,"trzy miliony ",IF(A73=4,"cztery miliony ",IF(A73=5,"pięć milionów ",""))))))</f>
        <v xml:space="preserve">jeden milion </v>
      </c>
      <c r="F73" s="84" t="str">
        <f>IF(A72=6,"sześćdziesiąt ",IF(A72=7,"siedemdziesiąt ",IF(A72=8,"osiemdziesiąt ",IF(A72=9,"dziewięćdziesiąt ",""))))</f>
        <v/>
      </c>
      <c r="G73" s="78"/>
      <c r="H73" s="78"/>
      <c r="I73" s="78"/>
      <c r="J73" s="84" t="str">
        <f>IF(C72,E72&amp;I73,IF(D72,F73&amp;I73,""))</f>
        <v/>
      </c>
      <c r="K73" s="78"/>
    </row>
    <row r="74" spans="1:11" x14ac:dyDescent="0.2">
      <c r="A74" s="78">
        <f>INT(A$70/100000)-10*A73-100*A72</f>
        <v>8</v>
      </c>
      <c r="B74" s="78"/>
      <c r="C74" s="83">
        <f t="shared" si="0"/>
        <v>0</v>
      </c>
      <c r="D74" s="83">
        <f t="shared" si="1"/>
        <v>1</v>
      </c>
      <c r="E74" s="84" t="str">
        <f>IF(A74=0,"",IF(A74=1,"sto ",IF(A74=2,"dwieście ",IF(A74=3,"trzysta ",IF(A74=4,"czterysta ",IF(A74=5,"pięćset ",""))))))</f>
        <v/>
      </c>
      <c r="F74" s="84" t="str">
        <f>IF(A73=6,"sześć milionów ",IF(A73=7,"siedem milionów ",IF(A73=8,"osiem milionów ",IF(A73=9,"dziewięć milionów ",""))))</f>
        <v/>
      </c>
      <c r="G74" s="84"/>
      <c r="H74" s="84" t="str">
        <f>IF(A73=6,"szesnaście milionów ",IF(A73=7,"siedemnaście milionów ",IF(A73=8,"osiemnaście milionów ",IF(A73=9,"dziewiętnaście milionów ",""))))</f>
        <v/>
      </c>
      <c r="I74" s="78"/>
      <c r="J74" s="84" t="str">
        <f>IF(A72=1,IF(C73,G65,IF(D73,H74)),IF(C73,E73,IF(D73,F74,"")))</f>
        <v xml:space="preserve">jeden milion </v>
      </c>
      <c r="K74" s="78"/>
    </row>
    <row r="75" spans="1:11" x14ac:dyDescent="0.2">
      <c r="A75" s="78">
        <f>INT(A$70/10000)-10*A74-100*A73-1000*A72</f>
        <v>1</v>
      </c>
      <c r="B75" s="78"/>
      <c r="C75" s="83">
        <f t="shared" si="0"/>
        <v>1</v>
      </c>
      <c r="D75" s="83">
        <f t="shared" si="1"/>
        <v>0</v>
      </c>
      <c r="E75" s="84" t="str">
        <f>IF(A75=0,"",IF(A75=1,IF(A76=0,"dziesięć tysięcy ",""),IF(A75=2,"dwadzieścia ",IF(A75=3,"trzydzieści ",IF(A75=4,"czterdzieści ",IF(A75=5,"pięćdziesiąt ",""))))))</f>
        <v/>
      </c>
      <c r="F75" s="84" t="str">
        <f>IF(A74=6,"sześćset ",IF(A74=7,"siedemset ",IF(A74=8,"osiemset ",IF(A74=9,"dziewięćset ",""))))</f>
        <v xml:space="preserve">osiemset </v>
      </c>
      <c r="H75" s="78"/>
      <c r="I75" s="78"/>
      <c r="J75" s="84" t="str">
        <f>IF(C74,E74&amp;I75,IF(D74,F75&amp;I75,""))</f>
        <v xml:space="preserve">osiemset </v>
      </c>
      <c r="K75" s="78"/>
    </row>
    <row r="76" spans="1:11" x14ac:dyDescent="0.2">
      <c r="A76" s="79">
        <f>INT(A$70/1000)-10*A75-100*A74-1000*A73-10000*A72</f>
        <v>4</v>
      </c>
      <c r="B76" s="78"/>
      <c r="C76" s="83">
        <f t="shared" si="0"/>
        <v>1</v>
      </c>
      <c r="D76" s="83">
        <f t="shared" si="1"/>
        <v>0</v>
      </c>
      <c r="E76" s="84" t="str">
        <f>IF(A76=0,IF(OR(AND(A75&lt;&gt;0,A75&lt;&gt;1),AND(A74&lt;&gt;0,A75=0)),"tysięcy ",""),IF(A76=1,IF(AND(A74=0,A75=0),"jeden tysiąc ","jeden tysięcy "),IF(A76=2,"dwa tysiące ",IF(A76=3,"trzy tysiące ",IF(A76=4,"cztery tysiące ",IF(A76=5,"pięć tysięcy ",""))))))</f>
        <v xml:space="preserve">cztery tysiące </v>
      </c>
      <c r="F76" s="84" t="str">
        <f>IF(A75=6,"sześćdziesiąt ",IF(A75=7,"siedemdziesiąt ",IF(A75=8,"osiemdziesiąt ",IF(A75=9,"dziewięćdziesiąt ",""))))</f>
        <v/>
      </c>
      <c r="H76" s="78"/>
      <c r="I76" s="78"/>
      <c r="J76" s="84" t="str">
        <f>IF(C75,E75&amp;I76,IF(D75,F76&amp;I76,""))</f>
        <v/>
      </c>
      <c r="K76" s="78"/>
    </row>
    <row r="77" spans="1:11" x14ac:dyDescent="0.2">
      <c r="A77" s="78">
        <f>INT(A$70/100)-10*A76-100*A75-1000*A74-10000*A73-100000*A72</f>
        <v>2</v>
      </c>
      <c r="B77" s="78"/>
      <c r="C77" s="83">
        <f t="shared" si="0"/>
        <v>1</v>
      </c>
      <c r="D77" s="83">
        <f t="shared" si="1"/>
        <v>0</v>
      </c>
      <c r="E77" s="84" t="str">
        <f>IF(A77=0,"",IF(A77=1,"sto ",IF(A77=2,"dwieście ",IF(A77=3,"trzysta ",IF(A77=4,"czterysta ",IF(A77=5,"pięćset ",""))))))</f>
        <v xml:space="preserve">dwieście </v>
      </c>
      <c r="F77" s="84" t="str">
        <f>IF(A76=6,"sześć tysięcy ",IF(A76=7,"siedem tysięcy ",IF(A76=8,"osiem tysięcy ",IF(A76=9,"dziewięć tysięcy ",""))))</f>
        <v/>
      </c>
      <c r="H77" s="84" t="str">
        <f>IF(A76=6,"szesnaście tysięcy ",IF(A76=7,"siedemnaście tysięcy ",IF(A76=8,"osiemnaście tysięcy ",IF(A76=9,"dziewiętnaście tysięcy ",""))))</f>
        <v/>
      </c>
      <c r="I77" s="78"/>
      <c r="J77" s="84" t="str">
        <f>IF(A75=1,IF(C76,G68,IF(D76,H77)),IF(C76,E76,IF(D76,F77,"")))</f>
        <v xml:space="preserve">czternaście tysięcy </v>
      </c>
      <c r="K77" s="78"/>
    </row>
    <row r="78" spans="1:11" x14ac:dyDescent="0.2">
      <c r="A78" s="78">
        <f>INT(A$70/10)-10*A77-100*A76-1000*A75-10000*A74-100000*A73-1000000*A72</f>
        <v>5</v>
      </c>
      <c r="B78" s="78"/>
      <c r="C78" s="83">
        <f t="shared" si="0"/>
        <v>1</v>
      </c>
      <c r="D78" s="83">
        <f t="shared" si="1"/>
        <v>0</v>
      </c>
      <c r="E78" s="84" t="str">
        <f>IF(A78=0,"",IF(A78=1,IF(A79=0,"dziesięć ",""),IF(A78=2,"dwadzieścia ",IF(A78=3,"trzydzieści ",IF(A78=4,"czterdzieści ",IF(A78=5,"pięćdziesiąt ",""))))))</f>
        <v xml:space="preserve">pięćdziesiąt </v>
      </c>
      <c r="F78" s="84" t="str">
        <f>IF(A77=6,"sześćset ",IF(A77=7,"siedemset ",IF(A77=8,"osiemset ",IF(A77=9,"dziewięćset ",""))))</f>
        <v/>
      </c>
      <c r="H78" s="78"/>
      <c r="I78" s="78"/>
      <c r="J78" s="84" t="str">
        <f>IF(C77,E77&amp;I78,IF(D77,F78&amp;I78,""))</f>
        <v xml:space="preserve">dwieście </v>
      </c>
      <c r="K78" s="78"/>
    </row>
    <row r="79" spans="1:11" x14ac:dyDescent="0.2">
      <c r="A79" s="79">
        <f>INT(A$70)-10*A78-100*A77-1000*A76-10000*A75-100000*A74-1000000*A73-10000000*A72</f>
        <v>0</v>
      </c>
      <c r="B79" s="78"/>
      <c r="C79" s="83">
        <f t="shared" si="0"/>
        <v>1</v>
      </c>
      <c r="D79" s="83">
        <f t="shared" si="1"/>
        <v>0</v>
      </c>
      <c r="E79" s="84" t="str">
        <f>IF(A79=0,"",IF(A79=1,"jeden ",IF(A79=2,"dwa ",IF(A79=3,"trzy ",IF(A79=4,"cztery ",IF(A79=5,"pięć ",""))))))</f>
        <v/>
      </c>
      <c r="F79" s="84" t="str">
        <f>IF(A78=6,"sześćdziesiąt ",IF(A78=7,"siedemdziesiąt ",IF(A78=8,"osiemdziesiąt ",IF(A78=9,"dziewięćdziesiąt ",""))))</f>
        <v/>
      </c>
      <c r="H79" s="78"/>
      <c r="I79" s="78"/>
      <c r="J79" s="84" t="str">
        <f>IF(C78,E78&amp;I79,IF(D78,F79&amp;I79,""))</f>
        <v xml:space="preserve">pięćdziesiąt </v>
      </c>
      <c r="K79" s="78"/>
    </row>
    <row r="80" spans="1:11" x14ac:dyDescent="0.2">
      <c r="A80" s="85">
        <f>ROUND((A70-TRUNC(A70,0))*100,0)</f>
        <v>0</v>
      </c>
      <c r="B80" s="78"/>
      <c r="C80" s="78"/>
      <c r="D80" s="78"/>
      <c r="E80" s="78"/>
      <c r="F80" s="84" t="str">
        <f>IF(A79=6,"sześć ",IF(A79=7,"siedem ",IF(A79=8,"osiem ",IF(A79=9,"dziewięć ",""))))</f>
        <v/>
      </c>
      <c r="H80" s="84" t="str">
        <f>IF(A79=6,"szesnaście ",IF(A79=7,"siedemnaście ",IF(A79=8,"osiemnaście ",IF(A79=9,"dziewiętnaście ",""))))</f>
        <v/>
      </c>
      <c r="I80" s="78"/>
      <c r="J80" s="84" t="str">
        <f>IF(A78=1,IF(C79,G71,IF(D79,H80)),IF(C79,E79,IF(D79,F80,"")))</f>
        <v/>
      </c>
      <c r="K80" s="78"/>
    </row>
    <row r="81" spans="1:11" x14ac:dyDescent="0.2">
      <c r="A81" s="78"/>
      <c r="B81" s="78"/>
      <c r="C81" s="78"/>
      <c r="D81" s="78"/>
      <c r="E81" s="82" t="s">
        <v>5</v>
      </c>
      <c r="F81" s="78"/>
      <c r="H81" s="78"/>
      <c r="I81" s="78"/>
      <c r="J81" s="84" t="str">
        <f>"zł "&amp;A80&amp;"/100"</f>
        <v>zł 0/100</v>
      </c>
      <c r="K81" s="78"/>
    </row>
    <row r="82" spans="1:11" x14ac:dyDescent="0.2">
      <c r="A82" s="77">
        <f>TRUNC(A70,1)</f>
        <v>1814250</v>
      </c>
      <c r="B82" s="78"/>
      <c r="C82" s="78"/>
      <c r="D82" s="78"/>
      <c r="E82" s="84" t="str">
        <f>J73&amp;J74&amp;J75&amp;J76&amp;J77&amp;J78&amp;J79&amp;J80&amp;J81</f>
        <v>jeden milion osiemset czternaście tysięcy dwieście pięćdziesiąt zł 0/100</v>
      </c>
      <c r="F82" s="78"/>
      <c r="H82" s="78"/>
      <c r="I82" s="78"/>
      <c r="J82" s="78"/>
      <c r="K82" s="78"/>
    </row>
    <row r="83" spans="1:11" x14ac:dyDescent="0.2">
      <c r="F83" s="84"/>
      <c r="H83" s="84"/>
      <c r="I83" s="84"/>
      <c r="J83" s="84"/>
      <c r="K83" s="78"/>
    </row>
  </sheetData>
  <mergeCells count="27">
    <mergeCell ref="C7:D7"/>
    <mergeCell ref="A3:E3"/>
    <mergeCell ref="B4:E4"/>
    <mergeCell ref="A5:B5"/>
    <mergeCell ref="C5:E5"/>
    <mergeCell ref="C6:D6"/>
    <mergeCell ref="C8:D8"/>
    <mergeCell ref="C9:D9"/>
    <mergeCell ref="C10:D10"/>
    <mergeCell ref="C11:D11"/>
    <mergeCell ref="A12:D12"/>
    <mergeCell ref="C13:D13"/>
    <mergeCell ref="C14:D14"/>
    <mergeCell ref="C15:D15"/>
    <mergeCell ref="C16:D16"/>
    <mergeCell ref="C17:D17"/>
    <mergeCell ref="C18:D18"/>
    <mergeCell ref="A26:D26"/>
    <mergeCell ref="A27:D27"/>
    <mergeCell ref="A28:D28"/>
    <mergeCell ref="C20:D20"/>
    <mergeCell ref="C21:D21"/>
    <mergeCell ref="A22:D22"/>
    <mergeCell ref="C23:D23"/>
    <mergeCell ref="C24:D24"/>
    <mergeCell ref="A25:D25"/>
    <mergeCell ref="C19:D19"/>
  </mergeCells>
  <pageMargins left="0.7" right="0.7" top="0.75" bottom="0.75" header="0.3" footer="0.3"/>
  <pageSetup paperSize="9" scale="4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62"/>
  <sheetViews>
    <sheetView workbookViewId="0"/>
  </sheetViews>
  <sheetFormatPr defaultRowHeight="12.75" x14ac:dyDescent="0.2"/>
  <cols>
    <col min="4" max="4" width="9.5703125" customWidth="1"/>
    <col min="5" max="5" width="13.42578125" customWidth="1"/>
    <col min="6" max="6" width="12.28515625" customWidth="1"/>
    <col min="8" max="9" width="10.140625" customWidth="1"/>
  </cols>
  <sheetData>
    <row r="1" spans="1:9" x14ac:dyDescent="0.2">
      <c r="E1" s="420" t="s">
        <v>26</v>
      </c>
      <c r="F1" s="420"/>
    </row>
    <row r="2" spans="1:9" ht="9" customHeight="1" x14ac:dyDescent="0.2">
      <c r="E2" s="421"/>
      <c r="F2" s="421"/>
    </row>
    <row r="3" spans="1:9" ht="25.5" customHeight="1" x14ac:dyDescent="0.2">
      <c r="A3" s="422" t="s">
        <v>27</v>
      </c>
      <c r="B3" s="422"/>
      <c r="C3" s="422"/>
      <c r="D3" s="422"/>
      <c r="E3" s="422"/>
      <c r="F3" s="422"/>
      <c r="G3" s="27"/>
      <c r="H3" s="27"/>
      <c r="I3" s="27"/>
    </row>
    <row r="4" spans="1:9" ht="24" customHeight="1" x14ac:dyDescent="0.2">
      <c r="A4" s="423" t="s">
        <v>96</v>
      </c>
      <c r="B4" s="423"/>
      <c r="C4" s="423"/>
      <c r="D4" s="423"/>
      <c r="E4" s="423"/>
      <c r="F4" s="423"/>
      <c r="G4" s="28"/>
      <c r="H4" s="28"/>
      <c r="I4" s="28"/>
    </row>
    <row r="5" spans="1:9" ht="61.5" customHeight="1" x14ac:dyDescent="0.2">
      <c r="A5" s="423"/>
      <c r="B5" s="423"/>
      <c r="C5" s="423"/>
      <c r="D5" s="423"/>
      <c r="E5" s="423"/>
      <c r="F5" s="423"/>
      <c r="G5" s="28"/>
      <c r="H5" s="28"/>
      <c r="I5" s="28"/>
    </row>
    <row r="6" spans="1:9" ht="18" customHeight="1" x14ac:dyDescent="0.2">
      <c r="A6" s="424" t="s">
        <v>28</v>
      </c>
      <c r="B6" s="425"/>
      <c r="C6" s="425"/>
      <c r="D6" s="425"/>
      <c r="E6" s="425"/>
      <c r="F6" s="426"/>
      <c r="G6" s="28"/>
      <c r="H6" s="28"/>
      <c r="I6" s="28"/>
    </row>
    <row r="7" spans="1:9" ht="12.75" customHeight="1" x14ac:dyDescent="0.2">
      <c r="A7" s="411" t="s">
        <v>29</v>
      </c>
      <c r="B7" s="411" t="s">
        <v>30</v>
      </c>
      <c r="C7" s="411" t="s">
        <v>31</v>
      </c>
      <c r="D7" s="413" t="s">
        <v>32</v>
      </c>
      <c r="E7" s="413"/>
      <c r="F7" s="413"/>
    </row>
    <row r="8" spans="1:9" ht="12.75" customHeight="1" x14ac:dyDescent="0.2">
      <c r="A8" s="412"/>
      <c r="B8" s="412"/>
      <c r="C8" s="411"/>
      <c r="D8" s="411" t="s">
        <v>33</v>
      </c>
      <c r="E8" s="411" t="s">
        <v>34</v>
      </c>
      <c r="F8" s="411" t="s">
        <v>35</v>
      </c>
    </row>
    <row r="9" spans="1:9" ht="6" customHeight="1" x14ac:dyDescent="0.2">
      <c r="A9" s="412"/>
      <c r="B9" s="412"/>
      <c r="C9" s="411"/>
      <c r="D9" s="411"/>
      <c r="E9" s="411"/>
      <c r="F9" s="411"/>
    </row>
    <row r="10" spans="1:9" ht="4.5" customHeight="1" x14ac:dyDescent="0.2">
      <c r="A10" s="412"/>
      <c r="B10" s="412"/>
      <c r="C10" s="411"/>
      <c r="D10" s="411"/>
      <c r="E10" s="411"/>
      <c r="F10" s="411"/>
    </row>
    <row r="11" spans="1:9" x14ac:dyDescent="0.2">
      <c r="A11" s="419">
        <v>13</v>
      </c>
      <c r="B11" s="414">
        <v>780</v>
      </c>
      <c r="C11" s="30" t="s">
        <v>2</v>
      </c>
      <c r="D11" s="410">
        <v>2</v>
      </c>
      <c r="E11" s="31" t="s">
        <v>2</v>
      </c>
      <c r="F11" s="31" t="s">
        <v>2</v>
      </c>
      <c r="H11" s="406"/>
    </row>
    <row r="12" spans="1:9" x14ac:dyDescent="0.2">
      <c r="A12" s="419"/>
      <c r="B12" s="414"/>
      <c r="C12" s="415">
        <f>B13-B11</f>
        <v>2.4</v>
      </c>
      <c r="D12" s="410"/>
      <c r="E12" s="410">
        <f>SUM(0.5*D11,0.5*D13)</f>
        <v>1</v>
      </c>
      <c r="F12" s="410">
        <f>PRODUCT(C12,E12)</f>
        <v>2.4</v>
      </c>
      <c r="H12" s="406"/>
    </row>
    <row r="13" spans="1:9" x14ac:dyDescent="0.2">
      <c r="A13" s="419"/>
      <c r="B13" s="414">
        <v>782.4</v>
      </c>
      <c r="C13" s="415"/>
      <c r="D13" s="410">
        <v>0</v>
      </c>
      <c r="E13" s="410"/>
      <c r="F13" s="410"/>
      <c r="H13" s="406"/>
    </row>
    <row r="14" spans="1:9" x14ac:dyDescent="0.2">
      <c r="A14" s="419"/>
      <c r="B14" s="414"/>
      <c r="C14" s="415">
        <f>B15-B13</f>
        <v>28.9</v>
      </c>
      <c r="D14" s="410"/>
      <c r="E14" s="410">
        <f>SUM(0.5*D13,0.5*D15)</f>
        <v>1.33</v>
      </c>
      <c r="F14" s="410">
        <f>PRODUCT(C14,E14)</f>
        <v>38.44</v>
      </c>
      <c r="H14" s="406"/>
    </row>
    <row r="15" spans="1:9" x14ac:dyDescent="0.2">
      <c r="A15" s="419"/>
      <c r="B15" s="414">
        <v>811.3</v>
      </c>
      <c r="C15" s="415"/>
      <c r="D15" s="410">
        <v>2.65</v>
      </c>
      <c r="E15" s="410"/>
      <c r="F15" s="410"/>
      <c r="H15" s="406"/>
    </row>
    <row r="16" spans="1:9" x14ac:dyDescent="0.2">
      <c r="A16" s="419"/>
      <c r="B16" s="414"/>
      <c r="C16" s="415">
        <f>B17-B15</f>
        <v>18.7</v>
      </c>
      <c r="D16" s="410"/>
      <c r="E16" s="410">
        <f>SUM(0.5*D15,0.5*D17)</f>
        <v>2.7</v>
      </c>
      <c r="F16" s="410">
        <f>PRODUCT(C16,E16)</f>
        <v>50.49</v>
      </c>
      <c r="H16" s="406"/>
    </row>
    <row r="17" spans="1:8" x14ac:dyDescent="0.2">
      <c r="A17" s="419"/>
      <c r="B17" s="414">
        <v>830</v>
      </c>
      <c r="C17" s="415"/>
      <c r="D17" s="410">
        <v>2.75</v>
      </c>
      <c r="E17" s="410"/>
      <c r="F17" s="410"/>
      <c r="H17" s="406"/>
    </row>
    <row r="18" spans="1:8" x14ac:dyDescent="0.2">
      <c r="A18" s="419"/>
      <c r="B18" s="414"/>
      <c r="C18" s="415">
        <f>B19-B17</f>
        <v>31.6</v>
      </c>
      <c r="D18" s="410"/>
      <c r="E18" s="410">
        <f>SUM(0.5*D17,0.5*D19)</f>
        <v>2.93</v>
      </c>
      <c r="F18" s="410">
        <f>PRODUCT(C18,E18)</f>
        <v>92.59</v>
      </c>
      <c r="H18" s="406"/>
    </row>
    <row r="19" spans="1:8" x14ac:dyDescent="0.2">
      <c r="A19" s="419"/>
      <c r="B19" s="414">
        <v>861.6</v>
      </c>
      <c r="C19" s="415"/>
      <c r="D19" s="410">
        <v>3.1</v>
      </c>
      <c r="E19" s="410"/>
      <c r="F19" s="410"/>
      <c r="H19" s="406"/>
    </row>
    <row r="20" spans="1:8" x14ac:dyDescent="0.2">
      <c r="A20" s="419"/>
      <c r="B20" s="414"/>
      <c r="C20" s="415">
        <f>B21-B19</f>
        <v>18.399999999999999</v>
      </c>
      <c r="D20" s="410"/>
      <c r="E20" s="410">
        <f>SUM(0.5*D19,0.5*D21)</f>
        <v>3</v>
      </c>
      <c r="F20" s="410">
        <f>PRODUCT(C20,E20)</f>
        <v>55.2</v>
      </c>
      <c r="H20" s="406"/>
    </row>
    <row r="21" spans="1:8" x14ac:dyDescent="0.2">
      <c r="A21" s="419"/>
      <c r="B21" s="414">
        <v>880</v>
      </c>
      <c r="C21" s="415"/>
      <c r="D21" s="410">
        <v>2.9</v>
      </c>
      <c r="E21" s="410"/>
      <c r="F21" s="410"/>
      <c r="H21" s="406"/>
    </row>
    <row r="22" spans="1:8" x14ac:dyDescent="0.2">
      <c r="A22" s="419"/>
      <c r="B22" s="414"/>
      <c r="C22" s="415">
        <f>B23-B21</f>
        <v>23.7</v>
      </c>
      <c r="D22" s="410"/>
      <c r="E22" s="410">
        <f>SUM(0.5*D21,0.5*D23)</f>
        <v>1.45</v>
      </c>
      <c r="F22" s="410">
        <f>PRODUCT(C22,E22)</f>
        <v>34.369999999999997</v>
      </c>
      <c r="H22" s="406"/>
    </row>
    <row r="23" spans="1:8" x14ac:dyDescent="0.2">
      <c r="A23" s="419"/>
      <c r="B23" s="414">
        <v>903.7</v>
      </c>
      <c r="C23" s="415"/>
      <c r="D23" s="410">
        <v>0</v>
      </c>
      <c r="E23" s="410"/>
      <c r="F23" s="410"/>
      <c r="H23" s="406"/>
    </row>
    <row r="24" spans="1:8" x14ac:dyDescent="0.2">
      <c r="A24" s="419"/>
      <c r="B24" s="414"/>
      <c r="C24" s="415">
        <f>B25-B23</f>
        <v>34.299999999999997</v>
      </c>
      <c r="D24" s="410"/>
      <c r="E24" s="410">
        <f>SUM(0.5*D23,0.5*D25)</f>
        <v>1.63</v>
      </c>
      <c r="F24" s="410">
        <f>PRODUCT(C24,E24)</f>
        <v>55.91</v>
      </c>
      <c r="H24" s="406"/>
    </row>
    <row r="25" spans="1:8" x14ac:dyDescent="0.2">
      <c r="A25" s="419"/>
      <c r="B25" s="414">
        <v>938</v>
      </c>
      <c r="C25" s="415"/>
      <c r="D25" s="410">
        <v>3.25</v>
      </c>
      <c r="E25" s="410"/>
      <c r="F25" s="410"/>
      <c r="H25" s="406"/>
    </row>
    <row r="26" spans="1:8" ht="13.5" customHeight="1" x14ac:dyDescent="0.2">
      <c r="A26" s="419"/>
      <c r="B26" s="414"/>
      <c r="C26" s="30" t="s">
        <v>2</v>
      </c>
      <c r="D26" s="418"/>
      <c r="E26" s="57" t="s">
        <v>2</v>
      </c>
      <c r="F26" s="57" t="s">
        <v>2</v>
      </c>
      <c r="H26" s="406"/>
    </row>
    <row r="27" spans="1:8" ht="13.5" customHeight="1" x14ac:dyDescent="0.2">
      <c r="A27" s="61"/>
      <c r="B27" s="62"/>
      <c r="C27" s="63"/>
      <c r="D27" s="416" t="s">
        <v>37</v>
      </c>
      <c r="E27" s="416"/>
      <c r="F27" s="417">
        <f>F12+F14+F16+F18+F20+F22+F24</f>
        <v>329.4</v>
      </c>
      <c r="H27" s="43"/>
    </row>
    <row r="28" spans="1:8" ht="13.5" customHeight="1" x14ac:dyDescent="0.2">
      <c r="A28" s="64"/>
      <c r="B28" s="43"/>
      <c r="C28" s="65"/>
      <c r="D28" s="416"/>
      <c r="E28" s="416"/>
      <c r="F28" s="417"/>
      <c r="H28" s="43"/>
    </row>
    <row r="29" spans="1:8" ht="13.5" customHeight="1" x14ac:dyDescent="0.2">
      <c r="A29" s="64"/>
      <c r="B29" s="43"/>
      <c r="C29" s="65"/>
      <c r="D29" s="416" t="s">
        <v>38</v>
      </c>
      <c r="E29" s="416"/>
      <c r="F29" s="417">
        <f>-(I48+I49+I50)</f>
        <v>-56.03</v>
      </c>
      <c r="H29" s="43"/>
    </row>
    <row r="30" spans="1:8" ht="13.5" customHeight="1" x14ac:dyDescent="0.2">
      <c r="A30" s="64"/>
      <c r="B30" s="43"/>
      <c r="C30" s="65"/>
      <c r="D30" s="416"/>
      <c r="E30" s="416"/>
      <c r="F30" s="417"/>
      <c r="H30" s="43"/>
    </row>
    <row r="31" spans="1:8" ht="13.5" customHeight="1" x14ac:dyDescent="0.2">
      <c r="A31" s="64"/>
      <c r="B31" s="43"/>
      <c r="C31" s="65"/>
      <c r="D31" s="416" t="s">
        <v>97</v>
      </c>
      <c r="E31" s="416"/>
      <c r="F31" s="417">
        <f>F27+F29</f>
        <v>273.37</v>
      </c>
    </row>
    <row r="32" spans="1:8" ht="13.5" customHeight="1" x14ac:dyDescent="0.2">
      <c r="A32" s="64"/>
      <c r="B32" s="43"/>
      <c r="C32" s="65"/>
      <c r="D32" s="416"/>
      <c r="E32" s="416"/>
      <c r="F32" s="417"/>
    </row>
    <row r="33" spans="1:9" ht="13.5" customHeight="1" x14ac:dyDescent="0.2">
      <c r="A33" s="64"/>
      <c r="B33" s="43"/>
      <c r="C33" s="65"/>
      <c r="D33" s="67"/>
      <c r="E33" s="67"/>
      <c r="F33" s="68"/>
    </row>
    <row r="34" spans="1:9" ht="13.5" customHeight="1" x14ac:dyDescent="0.2">
      <c r="A34" s="430" t="s">
        <v>36</v>
      </c>
      <c r="B34" s="431"/>
      <c r="C34" s="431"/>
      <c r="D34" s="431"/>
      <c r="E34" s="431"/>
      <c r="F34" s="432"/>
    </row>
    <row r="35" spans="1:9" ht="13.5" customHeight="1" x14ac:dyDescent="0.2">
      <c r="A35" s="411" t="s">
        <v>29</v>
      </c>
      <c r="B35" s="411" t="s">
        <v>30</v>
      </c>
      <c r="C35" s="411" t="s">
        <v>31</v>
      </c>
      <c r="D35" s="413" t="s">
        <v>32</v>
      </c>
      <c r="E35" s="413"/>
      <c r="F35" s="413"/>
    </row>
    <row r="36" spans="1:9" ht="11.25" customHeight="1" x14ac:dyDescent="0.2">
      <c r="A36" s="412"/>
      <c r="B36" s="412"/>
      <c r="C36" s="411"/>
      <c r="D36" s="411" t="s">
        <v>33</v>
      </c>
      <c r="E36" s="411" t="s">
        <v>34</v>
      </c>
      <c r="F36" s="411" t="s">
        <v>35</v>
      </c>
    </row>
    <row r="37" spans="1:9" ht="6.75" customHeight="1" x14ac:dyDescent="0.2">
      <c r="A37" s="412"/>
      <c r="B37" s="412"/>
      <c r="C37" s="411"/>
      <c r="D37" s="411"/>
      <c r="E37" s="411"/>
      <c r="F37" s="411"/>
    </row>
    <row r="38" spans="1:9" ht="13.5" customHeight="1" x14ac:dyDescent="0.2">
      <c r="A38" s="412"/>
      <c r="B38" s="412"/>
      <c r="C38" s="411"/>
      <c r="D38" s="411"/>
      <c r="E38" s="411"/>
      <c r="F38" s="411"/>
    </row>
    <row r="39" spans="1:9" ht="13.5" customHeight="1" x14ac:dyDescent="0.2">
      <c r="A39" s="419">
        <v>0</v>
      </c>
      <c r="B39" s="433">
        <v>12</v>
      </c>
      <c r="C39" s="32" t="s">
        <v>2</v>
      </c>
      <c r="D39" s="434">
        <v>3.25</v>
      </c>
      <c r="E39" s="33" t="s">
        <v>2</v>
      </c>
      <c r="F39" s="33" t="s">
        <v>2</v>
      </c>
    </row>
    <row r="40" spans="1:9" ht="13.5" customHeight="1" x14ac:dyDescent="0.2">
      <c r="A40" s="419"/>
      <c r="B40" s="415"/>
      <c r="C40" s="415">
        <f>B41-B39</f>
        <v>5.7</v>
      </c>
      <c r="D40" s="418"/>
      <c r="E40" s="410">
        <f>SUM(0.5*D39,0.5*D41)</f>
        <v>3.4</v>
      </c>
      <c r="F40" s="410">
        <f>PRODUCT(C40,E40)</f>
        <v>19.38</v>
      </c>
    </row>
    <row r="41" spans="1:9" ht="13.5" customHeight="1" x14ac:dyDescent="0.2">
      <c r="A41" s="419"/>
      <c r="B41" s="415">
        <v>17.7</v>
      </c>
      <c r="C41" s="415"/>
      <c r="D41" s="410">
        <v>3.55</v>
      </c>
      <c r="E41" s="410"/>
      <c r="F41" s="410"/>
    </row>
    <row r="42" spans="1:9" ht="13.5" customHeight="1" x14ac:dyDescent="0.2">
      <c r="A42" s="419"/>
      <c r="B42" s="415"/>
      <c r="C42" s="408">
        <f>B43-B41</f>
        <v>17.3</v>
      </c>
      <c r="D42" s="418"/>
      <c r="E42" s="410">
        <f>SUM(0.5*D41,0.5*D43)</f>
        <v>3.53</v>
      </c>
      <c r="F42" s="410">
        <f>PRODUCT(C42,E42)</f>
        <v>61.07</v>
      </c>
    </row>
    <row r="43" spans="1:9" ht="13.5" customHeight="1" x14ac:dyDescent="0.2">
      <c r="A43" s="419"/>
      <c r="B43" s="415">
        <v>35</v>
      </c>
      <c r="C43" s="409"/>
      <c r="D43" s="410">
        <v>3.5</v>
      </c>
      <c r="E43" s="410"/>
      <c r="F43" s="410"/>
    </row>
    <row r="44" spans="1:9" ht="13.5" customHeight="1" x14ac:dyDescent="0.2">
      <c r="A44" s="419"/>
      <c r="B44" s="415"/>
      <c r="C44" s="408">
        <f>B45-B43</f>
        <v>17</v>
      </c>
      <c r="D44" s="418"/>
      <c r="E44" s="410">
        <f>SUM(0.5*D43,0.5*D45)</f>
        <v>3.49</v>
      </c>
      <c r="F44" s="410">
        <f>PRODUCT(C44,E44)</f>
        <v>59.33</v>
      </c>
    </row>
    <row r="45" spans="1:9" ht="13.5" customHeight="1" x14ac:dyDescent="0.2">
      <c r="A45" s="419"/>
      <c r="B45" s="415">
        <v>52</v>
      </c>
      <c r="C45" s="409"/>
      <c r="D45" s="410">
        <v>3.48</v>
      </c>
      <c r="E45" s="410"/>
      <c r="F45" s="410"/>
    </row>
    <row r="46" spans="1:9" ht="14.25" customHeight="1" x14ac:dyDescent="0.2">
      <c r="A46" s="419"/>
      <c r="B46" s="415"/>
      <c r="C46" s="30" t="s">
        <v>2</v>
      </c>
      <c r="D46" s="418"/>
      <c r="E46" s="57" t="s">
        <v>2</v>
      </c>
      <c r="F46" s="57" t="s">
        <v>2</v>
      </c>
    </row>
    <row r="47" spans="1:9" ht="13.5" customHeight="1" x14ac:dyDescent="0.2">
      <c r="D47" s="416" t="s">
        <v>37</v>
      </c>
      <c r="E47" s="416"/>
      <c r="F47" s="417">
        <f>F40+F42+F44</f>
        <v>139.78</v>
      </c>
    </row>
    <row r="48" spans="1:9" x14ac:dyDescent="0.2">
      <c r="D48" s="416"/>
      <c r="E48" s="416"/>
      <c r="F48" s="417"/>
      <c r="H48" t="s">
        <v>39</v>
      </c>
      <c r="I48">
        <v>14.012</v>
      </c>
    </row>
    <row r="49" spans="1:9" x14ac:dyDescent="0.2">
      <c r="D49" s="416" t="s">
        <v>38</v>
      </c>
      <c r="E49" s="416"/>
      <c r="F49" s="417">
        <f>-(I51+I52)</f>
        <v>-42.86</v>
      </c>
      <c r="H49" t="s">
        <v>40</v>
      </c>
      <c r="I49">
        <v>12.76</v>
      </c>
    </row>
    <row r="50" spans="1:9" x14ac:dyDescent="0.2">
      <c r="C50" s="35"/>
      <c r="D50" s="416"/>
      <c r="E50" s="416"/>
      <c r="F50" s="417"/>
      <c r="H50" t="s">
        <v>41</v>
      </c>
      <c r="I50">
        <v>29.26</v>
      </c>
    </row>
    <row r="51" spans="1:9" x14ac:dyDescent="0.2">
      <c r="D51" s="416" t="s">
        <v>98</v>
      </c>
      <c r="E51" s="416"/>
      <c r="F51" s="417">
        <f>F47+F49</f>
        <v>96.92</v>
      </c>
      <c r="H51" t="s">
        <v>42</v>
      </c>
      <c r="I51" s="36">
        <v>24.3</v>
      </c>
    </row>
    <row r="52" spans="1:9" x14ac:dyDescent="0.2">
      <c r="C52" s="26"/>
      <c r="D52" s="416"/>
      <c r="E52" s="416"/>
      <c r="F52" s="417"/>
      <c r="H52" t="s">
        <v>43</v>
      </c>
      <c r="I52">
        <v>18.559999999999999</v>
      </c>
    </row>
    <row r="53" spans="1:9" ht="22.5" customHeight="1" x14ac:dyDescent="0.2"/>
    <row r="54" spans="1:9" ht="27.75" customHeight="1" x14ac:dyDescent="0.2">
      <c r="A54" s="407" t="s">
        <v>101</v>
      </c>
      <c r="B54" s="407"/>
      <c r="C54" s="407"/>
      <c r="D54" s="407"/>
      <c r="E54" s="37">
        <f>'5. Humusowanie'!E57/0.1</f>
        <v>79.900000000000006</v>
      </c>
      <c r="F54" s="38" t="s">
        <v>44</v>
      </c>
      <c r="G54" s="36">
        <f>F51+F31</f>
        <v>370.29</v>
      </c>
      <c r="H54">
        <f>G54*0.15</f>
        <v>55.543500000000002</v>
      </c>
    </row>
    <row r="55" spans="1:9" ht="27.75" customHeight="1" x14ac:dyDescent="0.2">
      <c r="A55" s="407" t="s">
        <v>100</v>
      </c>
      <c r="B55" s="407"/>
      <c r="C55" s="407"/>
      <c r="D55" s="407"/>
      <c r="E55" s="37">
        <f>'5. Humusowanie'!E59/0.1</f>
        <v>23.5</v>
      </c>
      <c r="F55" s="38" t="s">
        <v>44</v>
      </c>
      <c r="G55" s="36"/>
    </row>
    <row r="56" spans="1:9" ht="30" customHeight="1" x14ac:dyDescent="0.2">
      <c r="A56" s="407" t="s">
        <v>103</v>
      </c>
      <c r="B56" s="407"/>
      <c r="C56" s="407"/>
      <c r="D56" s="407"/>
      <c r="E56" s="37">
        <f>F31-'5. Humusowanie'!F31</f>
        <v>193.44</v>
      </c>
      <c r="F56" s="38" t="s">
        <v>44</v>
      </c>
      <c r="H56" s="36">
        <f>F51+F31</f>
        <v>370.29</v>
      </c>
    </row>
    <row r="57" spans="1:9" ht="12.75" customHeight="1" x14ac:dyDescent="0.2">
      <c r="A57" s="407" t="s">
        <v>104</v>
      </c>
      <c r="B57" s="407"/>
      <c r="C57" s="407"/>
      <c r="D57" s="407"/>
      <c r="E57" s="427">
        <f>F51-'5. Humusowanie'!F52</f>
        <v>73.430000000000007</v>
      </c>
      <c r="F57" s="429" t="s">
        <v>44</v>
      </c>
    </row>
    <row r="58" spans="1:9" x14ac:dyDescent="0.2">
      <c r="A58" s="407"/>
      <c r="B58" s="407"/>
      <c r="C58" s="407"/>
      <c r="D58" s="407"/>
      <c r="E58" s="428"/>
      <c r="F58" s="429"/>
    </row>
    <row r="62" spans="1:9" x14ac:dyDescent="0.2">
      <c r="F62" s="36"/>
    </row>
  </sheetData>
  <mergeCells count="101">
    <mergeCell ref="A57:D58"/>
    <mergeCell ref="E57:E58"/>
    <mergeCell ref="F57:F58"/>
    <mergeCell ref="D27:E28"/>
    <mergeCell ref="F27:F28"/>
    <mergeCell ref="D29:E30"/>
    <mergeCell ref="F29:F30"/>
    <mergeCell ref="D31:E32"/>
    <mergeCell ref="F31:F32"/>
    <mergeCell ref="A34:F34"/>
    <mergeCell ref="A39:A46"/>
    <mergeCell ref="B39:B40"/>
    <mergeCell ref="D39:D40"/>
    <mergeCell ref="C40:C41"/>
    <mergeCell ref="E40:E41"/>
    <mergeCell ref="F40:F41"/>
    <mergeCell ref="B41:B42"/>
    <mergeCell ref="D41:D42"/>
    <mergeCell ref="E1:F2"/>
    <mergeCell ref="A3:F3"/>
    <mergeCell ref="A4:F5"/>
    <mergeCell ref="A6:F6"/>
    <mergeCell ref="A7:A10"/>
    <mergeCell ref="B7:B10"/>
    <mergeCell ref="C7:C10"/>
    <mergeCell ref="D7:F7"/>
    <mergeCell ref="D8:D10"/>
    <mergeCell ref="E8:E10"/>
    <mergeCell ref="F8:F10"/>
    <mergeCell ref="A11:A26"/>
    <mergeCell ref="B11:B12"/>
    <mergeCell ref="D11:D12"/>
    <mergeCell ref="C12:C13"/>
    <mergeCell ref="E12:E13"/>
    <mergeCell ref="F12:F13"/>
    <mergeCell ref="B13:B14"/>
    <mergeCell ref="D13:D14"/>
    <mergeCell ref="C14:C15"/>
    <mergeCell ref="E14:E15"/>
    <mergeCell ref="F14:F15"/>
    <mergeCell ref="B15:B16"/>
    <mergeCell ref="D15:D16"/>
    <mergeCell ref="C16:C17"/>
    <mergeCell ref="E16:E17"/>
    <mergeCell ref="F16:F17"/>
    <mergeCell ref="B17:B18"/>
    <mergeCell ref="D17:D18"/>
    <mergeCell ref="C18:C19"/>
    <mergeCell ref="F24:F25"/>
    <mergeCell ref="B25:B26"/>
    <mergeCell ref="D25:D26"/>
    <mergeCell ref="E18:E19"/>
    <mergeCell ref="F18:F19"/>
    <mergeCell ref="B19:B20"/>
    <mergeCell ref="D19:D20"/>
    <mergeCell ref="C20:C21"/>
    <mergeCell ref="E20:E21"/>
    <mergeCell ref="F20:F21"/>
    <mergeCell ref="B21:B22"/>
    <mergeCell ref="D21:D22"/>
    <mergeCell ref="C22:C23"/>
    <mergeCell ref="A56:D56"/>
    <mergeCell ref="D47:E48"/>
    <mergeCell ref="F47:F48"/>
    <mergeCell ref="D49:E50"/>
    <mergeCell ref="F49:F50"/>
    <mergeCell ref="D51:E52"/>
    <mergeCell ref="F51:F52"/>
    <mergeCell ref="A55:D55"/>
    <mergeCell ref="F42:F43"/>
    <mergeCell ref="B43:B44"/>
    <mergeCell ref="D43:D44"/>
    <mergeCell ref="C44:C45"/>
    <mergeCell ref="E44:E45"/>
    <mergeCell ref="F44:F45"/>
    <mergeCell ref="B45:B46"/>
    <mergeCell ref="D45:D46"/>
    <mergeCell ref="H23:H24"/>
    <mergeCell ref="H25:H26"/>
    <mergeCell ref="H11:H12"/>
    <mergeCell ref="H13:H14"/>
    <mergeCell ref="H15:H16"/>
    <mergeCell ref="H17:H18"/>
    <mergeCell ref="H19:H20"/>
    <mergeCell ref="H21:H22"/>
    <mergeCell ref="A54:D54"/>
    <mergeCell ref="C42:C43"/>
    <mergeCell ref="E42:E43"/>
    <mergeCell ref="A35:A38"/>
    <mergeCell ref="B35:B38"/>
    <mergeCell ref="C35:C38"/>
    <mergeCell ref="D35:F35"/>
    <mergeCell ref="D36:D38"/>
    <mergeCell ref="E36:E38"/>
    <mergeCell ref="F36:F38"/>
    <mergeCell ref="E22:E23"/>
    <mergeCell ref="F22:F23"/>
    <mergeCell ref="B23:B24"/>
    <mergeCell ref="D23:D24"/>
    <mergeCell ref="C24:C25"/>
    <mergeCell ref="E24:E25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horizontalDpi="4294967293" vertic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62"/>
  <sheetViews>
    <sheetView workbookViewId="0"/>
  </sheetViews>
  <sheetFormatPr defaultRowHeight="12.75" x14ac:dyDescent="0.2"/>
  <cols>
    <col min="3" max="3" width="10.5703125" customWidth="1"/>
    <col min="4" max="4" width="10.140625" customWidth="1"/>
    <col min="5" max="5" width="13.42578125" customWidth="1"/>
    <col min="6" max="6" width="12.28515625" customWidth="1"/>
    <col min="8" max="9" width="10.140625" customWidth="1"/>
  </cols>
  <sheetData>
    <row r="1" spans="1:9" x14ac:dyDescent="0.2">
      <c r="E1" s="420" t="s">
        <v>45</v>
      </c>
      <c r="F1" s="420"/>
    </row>
    <row r="2" spans="1:9" ht="9.75" customHeight="1" x14ac:dyDescent="0.2">
      <c r="E2" s="421"/>
      <c r="F2" s="421"/>
    </row>
    <row r="3" spans="1:9" ht="25.5" customHeight="1" x14ac:dyDescent="0.2">
      <c r="A3" s="422" t="s">
        <v>46</v>
      </c>
      <c r="B3" s="422"/>
      <c r="C3" s="422"/>
      <c r="D3" s="422"/>
      <c r="E3" s="422"/>
      <c r="F3" s="422"/>
      <c r="G3" s="27"/>
      <c r="H3" s="27"/>
      <c r="I3" s="27"/>
    </row>
    <row r="4" spans="1:9" ht="24" customHeight="1" x14ac:dyDescent="0.2">
      <c r="A4" s="423" t="s">
        <v>96</v>
      </c>
      <c r="B4" s="423"/>
      <c r="C4" s="423"/>
      <c r="D4" s="423"/>
      <c r="E4" s="423"/>
      <c r="F4" s="423"/>
      <c r="G4" s="28"/>
      <c r="H4" s="28"/>
      <c r="I4" s="28"/>
    </row>
    <row r="5" spans="1:9" ht="48.75" customHeight="1" x14ac:dyDescent="0.2">
      <c r="A5" s="423"/>
      <c r="B5" s="423"/>
      <c r="C5" s="423"/>
      <c r="D5" s="423"/>
      <c r="E5" s="423"/>
      <c r="F5" s="423"/>
      <c r="G5" s="28"/>
      <c r="H5" s="28"/>
      <c r="I5" s="28"/>
    </row>
    <row r="6" spans="1:9" ht="18" customHeight="1" x14ac:dyDescent="0.2">
      <c r="A6" s="424" t="s">
        <v>28</v>
      </c>
      <c r="B6" s="425"/>
      <c r="C6" s="425"/>
      <c r="D6" s="425"/>
      <c r="E6" s="425"/>
      <c r="F6" s="426"/>
      <c r="G6" s="28"/>
      <c r="H6" s="28"/>
      <c r="I6" s="28"/>
    </row>
    <row r="7" spans="1:9" ht="12.75" customHeight="1" x14ac:dyDescent="0.2">
      <c r="A7" s="411" t="s">
        <v>29</v>
      </c>
      <c r="B7" s="411" t="s">
        <v>30</v>
      </c>
      <c r="C7" s="411" t="s">
        <v>31</v>
      </c>
      <c r="D7" s="413" t="s">
        <v>47</v>
      </c>
      <c r="E7" s="413"/>
      <c r="F7" s="413"/>
    </row>
    <row r="8" spans="1:9" ht="12.75" customHeight="1" x14ac:dyDescent="0.2">
      <c r="A8" s="412"/>
      <c r="B8" s="412"/>
      <c r="C8" s="411"/>
      <c r="D8" s="411" t="s">
        <v>33</v>
      </c>
      <c r="E8" s="411" t="s">
        <v>34</v>
      </c>
      <c r="F8" s="411" t="s">
        <v>35</v>
      </c>
    </row>
    <row r="9" spans="1:9" ht="6" customHeight="1" x14ac:dyDescent="0.2">
      <c r="A9" s="412"/>
      <c r="B9" s="412"/>
      <c r="C9" s="411"/>
      <c r="D9" s="411"/>
      <c r="E9" s="411"/>
      <c r="F9" s="411"/>
    </row>
    <row r="10" spans="1:9" ht="4.5" customHeight="1" x14ac:dyDescent="0.2">
      <c r="A10" s="412"/>
      <c r="B10" s="412"/>
      <c r="C10" s="411"/>
      <c r="D10" s="411"/>
      <c r="E10" s="411"/>
      <c r="F10" s="411"/>
    </row>
    <row r="11" spans="1:9" x14ac:dyDescent="0.2">
      <c r="A11" s="419">
        <v>13</v>
      </c>
      <c r="B11" s="415">
        <v>780</v>
      </c>
      <c r="C11" s="30" t="s">
        <v>2</v>
      </c>
      <c r="D11" s="410">
        <v>0</v>
      </c>
      <c r="E11" s="31" t="s">
        <v>2</v>
      </c>
      <c r="F11" s="31" t="s">
        <v>2</v>
      </c>
    </row>
    <row r="12" spans="1:9" x14ac:dyDescent="0.2">
      <c r="A12" s="419"/>
      <c r="B12" s="415"/>
      <c r="C12" s="415">
        <f>B13-B11</f>
        <v>2.4</v>
      </c>
      <c r="D12" s="410"/>
      <c r="E12" s="410">
        <f>SUM(0.5*D11,0.5*D13)</f>
        <v>0</v>
      </c>
      <c r="F12" s="410">
        <f>PRODUCT(C12,E12)</f>
        <v>0</v>
      </c>
    </row>
    <row r="13" spans="1:9" x14ac:dyDescent="0.2">
      <c r="A13" s="419"/>
      <c r="B13" s="415">
        <v>782.4</v>
      </c>
      <c r="C13" s="415"/>
      <c r="D13" s="410">
        <v>0</v>
      </c>
      <c r="E13" s="410"/>
      <c r="F13" s="410"/>
    </row>
    <row r="14" spans="1:9" x14ac:dyDescent="0.2">
      <c r="A14" s="419"/>
      <c r="B14" s="415"/>
      <c r="C14" s="415">
        <f>B15-B13</f>
        <v>28.9</v>
      </c>
      <c r="D14" s="410"/>
      <c r="E14" s="410">
        <f>SUM(0.5*D13,0.5*D15)</f>
        <v>0.3</v>
      </c>
      <c r="F14" s="410">
        <f>PRODUCT(C14,E14)</f>
        <v>8.67</v>
      </c>
    </row>
    <row r="15" spans="1:9" x14ac:dyDescent="0.2">
      <c r="A15" s="419"/>
      <c r="B15" s="415">
        <v>811.3</v>
      </c>
      <c r="C15" s="415"/>
      <c r="D15" s="410">
        <v>0.6</v>
      </c>
      <c r="E15" s="410"/>
      <c r="F15" s="410"/>
    </row>
    <row r="16" spans="1:9" x14ac:dyDescent="0.2">
      <c r="A16" s="419"/>
      <c r="B16" s="415"/>
      <c r="C16" s="415">
        <f>B17-B15</f>
        <v>18.7</v>
      </c>
      <c r="D16" s="410"/>
      <c r="E16" s="410">
        <f>SUM(0.5*D15,0.5*D17)</f>
        <v>0.63</v>
      </c>
      <c r="F16" s="410">
        <f>PRODUCT(C16,E16)</f>
        <v>11.78</v>
      </c>
    </row>
    <row r="17" spans="1:6" x14ac:dyDescent="0.2">
      <c r="A17" s="419"/>
      <c r="B17" s="415">
        <v>830</v>
      </c>
      <c r="C17" s="415"/>
      <c r="D17" s="410">
        <v>0.65</v>
      </c>
      <c r="E17" s="410"/>
      <c r="F17" s="410"/>
    </row>
    <row r="18" spans="1:6" x14ac:dyDescent="0.2">
      <c r="A18" s="419"/>
      <c r="B18" s="415"/>
      <c r="C18" s="415">
        <f>B19-B17</f>
        <v>31.6</v>
      </c>
      <c r="D18" s="410"/>
      <c r="E18" s="410">
        <f>SUM(0.5*D17,0.5*D19)</f>
        <v>0.78</v>
      </c>
      <c r="F18" s="410">
        <f>PRODUCT(C18,E18)</f>
        <v>24.65</v>
      </c>
    </row>
    <row r="19" spans="1:6" x14ac:dyDescent="0.2">
      <c r="A19" s="419"/>
      <c r="B19" s="415">
        <v>861.6</v>
      </c>
      <c r="C19" s="415"/>
      <c r="D19" s="410">
        <v>0.9</v>
      </c>
      <c r="E19" s="410"/>
      <c r="F19" s="410"/>
    </row>
    <row r="20" spans="1:6" x14ac:dyDescent="0.2">
      <c r="A20" s="419"/>
      <c r="B20" s="415"/>
      <c r="C20" s="415">
        <f>B21-B19</f>
        <v>18.399999999999999</v>
      </c>
      <c r="D20" s="410"/>
      <c r="E20" s="410">
        <f>SUM(0.5*D19,0.5*D21)</f>
        <v>0.95</v>
      </c>
      <c r="F20" s="410">
        <f>PRODUCT(C20,E20)</f>
        <v>17.48</v>
      </c>
    </row>
    <row r="21" spans="1:6" x14ac:dyDescent="0.2">
      <c r="A21" s="419"/>
      <c r="B21" s="415">
        <v>880</v>
      </c>
      <c r="C21" s="415"/>
      <c r="D21" s="410">
        <v>1</v>
      </c>
      <c r="E21" s="410"/>
      <c r="F21" s="410"/>
    </row>
    <row r="22" spans="1:6" x14ac:dyDescent="0.2">
      <c r="A22" s="419"/>
      <c r="B22" s="415"/>
      <c r="C22" s="415">
        <f>B23-B21</f>
        <v>23.7</v>
      </c>
      <c r="D22" s="410"/>
      <c r="E22" s="410">
        <f>SUM(0.5*D21,0.5*D23)</f>
        <v>0.5</v>
      </c>
      <c r="F22" s="410">
        <f>PRODUCT(C22,E22)</f>
        <v>11.85</v>
      </c>
    </row>
    <row r="23" spans="1:6" x14ac:dyDescent="0.2">
      <c r="A23" s="419"/>
      <c r="B23" s="415">
        <v>903.7</v>
      </c>
      <c r="C23" s="415"/>
      <c r="D23" s="410">
        <v>0</v>
      </c>
      <c r="E23" s="410"/>
      <c r="F23" s="410"/>
    </row>
    <row r="24" spans="1:6" x14ac:dyDescent="0.2">
      <c r="A24" s="419"/>
      <c r="B24" s="415"/>
      <c r="C24" s="415">
        <f>B25-B23</f>
        <v>34.299999999999997</v>
      </c>
      <c r="D24" s="410"/>
      <c r="E24" s="410">
        <f>SUM(0.5*D23,0.5*D25)</f>
        <v>0.65</v>
      </c>
      <c r="F24" s="410">
        <f>PRODUCT(C24,E24)</f>
        <v>22.3</v>
      </c>
    </row>
    <row r="25" spans="1:6" x14ac:dyDescent="0.2">
      <c r="A25" s="419"/>
      <c r="B25" s="415">
        <v>938</v>
      </c>
      <c r="C25" s="415"/>
      <c r="D25" s="410">
        <v>1.3</v>
      </c>
      <c r="E25" s="410"/>
      <c r="F25" s="410"/>
    </row>
    <row r="26" spans="1:6" ht="13.5" customHeight="1" x14ac:dyDescent="0.2">
      <c r="A26" s="419"/>
      <c r="B26" s="415"/>
      <c r="C26" s="30" t="s">
        <v>2</v>
      </c>
      <c r="D26" s="418"/>
      <c r="E26" s="57" t="s">
        <v>2</v>
      </c>
      <c r="F26" s="57" t="s">
        <v>2</v>
      </c>
    </row>
    <row r="27" spans="1:6" ht="13.5" customHeight="1" x14ac:dyDescent="0.2">
      <c r="A27" s="64"/>
      <c r="B27" s="65"/>
      <c r="C27" s="65"/>
      <c r="D27" s="416" t="s">
        <v>37</v>
      </c>
      <c r="E27" s="416"/>
      <c r="F27" s="417">
        <f>F12+F14+F16+F18+F20+F22+F24</f>
        <v>96.73</v>
      </c>
    </row>
    <row r="28" spans="1:6" ht="13.5" customHeight="1" x14ac:dyDescent="0.2">
      <c r="A28" s="64"/>
      <c r="B28" s="65"/>
      <c r="C28" s="65"/>
      <c r="D28" s="416"/>
      <c r="E28" s="416"/>
      <c r="F28" s="417"/>
    </row>
    <row r="29" spans="1:6" ht="13.5" customHeight="1" x14ac:dyDescent="0.2">
      <c r="A29" s="64"/>
      <c r="B29" s="65"/>
      <c r="C29" s="65"/>
      <c r="D29" s="416" t="s">
        <v>38</v>
      </c>
      <c r="E29" s="416"/>
      <c r="F29" s="417">
        <f>-(I50+I51+I52)</f>
        <v>-16.8</v>
      </c>
    </row>
    <row r="30" spans="1:6" ht="13.5" customHeight="1" x14ac:dyDescent="0.2">
      <c r="A30" s="64"/>
      <c r="B30" s="65"/>
      <c r="C30" s="65"/>
      <c r="D30" s="416"/>
      <c r="E30" s="416"/>
      <c r="F30" s="417"/>
    </row>
    <row r="31" spans="1:6" ht="13.5" customHeight="1" x14ac:dyDescent="0.2">
      <c r="A31" s="64"/>
      <c r="B31" s="65"/>
      <c r="C31" s="65"/>
      <c r="D31" s="416" t="s">
        <v>97</v>
      </c>
      <c r="E31" s="416"/>
      <c r="F31" s="417">
        <f>F27+F29</f>
        <v>79.930000000000007</v>
      </c>
    </row>
    <row r="32" spans="1:6" ht="13.5" customHeight="1" x14ac:dyDescent="0.2">
      <c r="A32" s="64"/>
      <c r="B32" s="65"/>
      <c r="C32" s="65"/>
      <c r="D32" s="416"/>
      <c r="E32" s="416"/>
      <c r="F32" s="417"/>
    </row>
    <row r="33" spans="1:8" ht="13.5" customHeight="1" x14ac:dyDescent="0.2">
      <c r="A33" s="64"/>
      <c r="B33" s="65"/>
      <c r="C33" s="65"/>
      <c r="D33" s="66"/>
      <c r="E33" s="66"/>
      <c r="F33" s="66"/>
    </row>
    <row r="34" spans="1:8" ht="13.5" customHeight="1" x14ac:dyDescent="0.2">
      <c r="A34" s="64"/>
      <c r="B34" s="65"/>
      <c r="C34" s="65"/>
      <c r="D34" s="66"/>
      <c r="E34" s="66"/>
      <c r="F34" s="66"/>
    </row>
    <row r="35" spans="1:8" ht="13.5" customHeight="1" x14ac:dyDescent="0.2">
      <c r="A35" s="430" t="s">
        <v>36</v>
      </c>
      <c r="B35" s="431"/>
      <c r="C35" s="431"/>
      <c r="D35" s="431"/>
      <c r="E35" s="431"/>
      <c r="F35" s="432"/>
      <c r="H35" s="36">
        <f>F31+F52</f>
        <v>103.42</v>
      </c>
    </row>
    <row r="36" spans="1:8" ht="13.5" customHeight="1" x14ac:dyDescent="0.2">
      <c r="A36" s="411" t="s">
        <v>29</v>
      </c>
      <c r="B36" s="411" t="s">
        <v>30</v>
      </c>
      <c r="C36" s="411" t="s">
        <v>31</v>
      </c>
      <c r="D36" s="413" t="s">
        <v>47</v>
      </c>
      <c r="E36" s="413"/>
      <c r="F36" s="413"/>
    </row>
    <row r="37" spans="1:8" ht="4.5" customHeight="1" x14ac:dyDescent="0.2">
      <c r="A37" s="412"/>
      <c r="B37" s="412"/>
      <c r="C37" s="411"/>
      <c r="D37" s="411" t="s">
        <v>33</v>
      </c>
      <c r="E37" s="411" t="s">
        <v>34</v>
      </c>
      <c r="F37" s="411" t="s">
        <v>35</v>
      </c>
    </row>
    <row r="38" spans="1:8" ht="11.25" customHeight="1" x14ac:dyDescent="0.2">
      <c r="A38" s="412"/>
      <c r="B38" s="412"/>
      <c r="C38" s="411"/>
      <c r="D38" s="411"/>
      <c r="E38" s="411"/>
      <c r="F38" s="411"/>
    </row>
    <row r="39" spans="1:8" ht="6.75" customHeight="1" x14ac:dyDescent="0.2">
      <c r="A39" s="412"/>
      <c r="B39" s="412"/>
      <c r="C39" s="411"/>
      <c r="D39" s="411"/>
      <c r="E39" s="411"/>
      <c r="F39" s="411"/>
    </row>
    <row r="40" spans="1:8" ht="13.5" customHeight="1" x14ac:dyDescent="0.2">
      <c r="A40" s="419">
        <v>0</v>
      </c>
      <c r="B40" s="433">
        <v>12</v>
      </c>
      <c r="C40" s="32" t="s">
        <v>2</v>
      </c>
      <c r="D40" s="434">
        <v>1.3</v>
      </c>
      <c r="E40" s="33" t="s">
        <v>2</v>
      </c>
      <c r="F40" s="33" t="s">
        <v>2</v>
      </c>
    </row>
    <row r="41" spans="1:8" ht="13.5" customHeight="1" x14ac:dyDescent="0.2">
      <c r="A41" s="419"/>
      <c r="B41" s="415"/>
      <c r="C41" s="415">
        <f>B42-B40</f>
        <v>5.7</v>
      </c>
      <c r="D41" s="418"/>
      <c r="E41" s="410">
        <f>SUM(0.5*D40,0.5*D42)</f>
        <v>1.23</v>
      </c>
      <c r="F41" s="410">
        <f>PRODUCT(C41,E41)</f>
        <v>7.01</v>
      </c>
    </row>
    <row r="42" spans="1:8" ht="13.5" customHeight="1" x14ac:dyDescent="0.2">
      <c r="A42" s="419"/>
      <c r="B42" s="415">
        <v>17.7</v>
      </c>
      <c r="C42" s="415"/>
      <c r="D42" s="410">
        <v>1.1499999999999999</v>
      </c>
      <c r="E42" s="410"/>
      <c r="F42" s="410"/>
    </row>
    <row r="43" spans="1:8" ht="13.5" customHeight="1" x14ac:dyDescent="0.2">
      <c r="A43" s="419"/>
      <c r="B43" s="415"/>
      <c r="C43" s="408">
        <f>B44-B42</f>
        <v>17.3</v>
      </c>
      <c r="D43" s="418"/>
      <c r="E43" s="410">
        <f>SUM(0.5*D42,0.5*D44)</f>
        <v>1.08</v>
      </c>
      <c r="F43" s="410">
        <f>PRODUCT(C43,E43)</f>
        <v>18.68</v>
      </c>
    </row>
    <row r="44" spans="1:8" ht="13.5" customHeight="1" x14ac:dyDescent="0.2">
      <c r="A44" s="419"/>
      <c r="B44" s="415">
        <v>35</v>
      </c>
      <c r="C44" s="409"/>
      <c r="D44" s="410">
        <v>1</v>
      </c>
      <c r="E44" s="410"/>
      <c r="F44" s="410"/>
    </row>
    <row r="45" spans="1:8" ht="13.5" customHeight="1" x14ac:dyDescent="0.2">
      <c r="A45" s="419"/>
      <c r="B45" s="415"/>
      <c r="C45" s="408">
        <f>B46-B44</f>
        <v>17</v>
      </c>
      <c r="D45" s="418"/>
      <c r="E45" s="410">
        <f>SUM(0.5*D44,0.5*D46)</f>
        <v>0.5</v>
      </c>
      <c r="F45" s="410">
        <f>PRODUCT(C45,E45)</f>
        <v>8.5</v>
      </c>
    </row>
    <row r="46" spans="1:8" ht="13.5" customHeight="1" x14ac:dyDescent="0.2">
      <c r="A46" s="419"/>
      <c r="B46" s="415">
        <v>52</v>
      </c>
      <c r="C46" s="409"/>
      <c r="D46" s="410">
        <v>0</v>
      </c>
      <c r="E46" s="410"/>
      <c r="F46" s="410"/>
    </row>
    <row r="47" spans="1:8" ht="13.5" customHeight="1" x14ac:dyDescent="0.2">
      <c r="A47" s="419"/>
      <c r="B47" s="415"/>
      <c r="C47" s="30" t="s">
        <v>2</v>
      </c>
      <c r="D47" s="418"/>
      <c r="E47" s="57" t="s">
        <v>2</v>
      </c>
      <c r="F47" s="57" t="s">
        <v>2</v>
      </c>
    </row>
    <row r="48" spans="1:8" ht="14.25" customHeight="1" x14ac:dyDescent="0.2">
      <c r="D48" s="416" t="s">
        <v>37</v>
      </c>
      <c r="E48" s="416"/>
      <c r="F48" s="417">
        <f>F41+F43+F45</f>
        <v>34.19</v>
      </c>
    </row>
    <row r="49" spans="1:9" ht="13.5" customHeight="1" thickBot="1" x14ac:dyDescent="0.25">
      <c r="D49" s="416"/>
      <c r="E49" s="416"/>
      <c r="F49" s="417"/>
    </row>
    <row r="50" spans="1:9" x14ac:dyDescent="0.2">
      <c r="D50" s="416" t="s">
        <v>38</v>
      </c>
      <c r="E50" s="416"/>
      <c r="F50" s="417">
        <f>-(I53+I54)</f>
        <v>-10.7</v>
      </c>
      <c r="H50" s="39" t="s">
        <v>39</v>
      </c>
      <c r="I50" s="40">
        <v>1.9</v>
      </c>
    </row>
    <row r="51" spans="1:9" x14ac:dyDescent="0.2">
      <c r="C51" s="35"/>
      <c r="D51" s="416"/>
      <c r="E51" s="416"/>
      <c r="F51" s="417"/>
      <c r="H51" s="41" t="s">
        <v>40</v>
      </c>
      <c r="I51" s="42">
        <v>5.9</v>
      </c>
    </row>
    <row r="52" spans="1:9" x14ac:dyDescent="0.2">
      <c r="D52" s="416" t="s">
        <v>98</v>
      </c>
      <c r="E52" s="416"/>
      <c r="F52" s="417">
        <f>F48+F50</f>
        <v>23.49</v>
      </c>
      <c r="H52" s="41" t="s">
        <v>41</v>
      </c>
      <c r="I52" s="42">
        <v>9</v>
      </c>
    </row>
    <row r="53" spans="1:9" x14ac:dyDescent="0.2">
      <c r="C53" s="26"/>
      <c r="D53" s="416"/>
      <c r="E53" s="416"/>
      <c r="F53" s="417"/>
      <c r="G53" s="43"/>
      <c r="H53" s="41" t="s">
        <v>42</v>
      </c>
      <c r="I53" s="44">
        <v>6.5</v>
      </c>
    </row>
    <row r="54" spans="1:9" ht="13.5" thickBot="1" x14ac:dyDescent="0.25">
      <c r="H54" s="45" t="s">
        <v>43</v>
      </c>
      <c r="I54" s="46">
        <v>4.2</v>
      </c>
    </row>
    <row r="55" spans="1:9" ht="12.75" customHeight="1" x14ac:dyDescent="0.2">
      <c r="A55" s="438" t="s">
        <v>48</v>
      </c>
      <c r="B55" s="439"/>
      <c r="C55" s="439"/>
      <c r="D55" s="440"/>
      <c r="E55" s="444">
        <f>('4.Zdjęcie humusu'!F31+'4.Zdjęcie humusu'!F51)*0.15</f>
        <v>55.54</v>
      </c>
      <c r="F55" s="446" t="s">
        <v>49</v>
      </c>
      <c r="G55" s="406">
        <f>'4.Zdjęcie humusu'!F51+'4.Zdjęcie humusu'!F31</f>
        <v>370.29</v>
      </c>
    </row>
    <row r="56" spans="1:9" x14ac:dyDescent="0.2">
      <c r="A56" s="441"/>
      <c r="B56" s="442"/>
      <c r="C56" s="442"/>
      <c r="D56" s="443"/>
      <c r="E56" s="445"/>
      <c r="F56" s="447"/>
      <c r="G56" s="449"/>
    </row>
    <row r="57" spans="1:9" x14ac:dyDescent="0.2">
      <c r="A57" s="441" t="s">
        <v>102</v>
      </c>
      <c r="B57" s="442"/>
      <c r="C57" s="442"/>
      <c r="D57" s="443"/>
      <c r="E57" s="445">
        <f>F31*0.1</f>
        <v>7.99</v>
      </c>
      <c r="F57" s="448" t="s">
        <v>49</v>
      </c>
      <c r="G57" s="406">
        <f>F31</f>
        <v>79.930000000000007</v>
      </c>
    </row>
    <row r="58" spans="1:9" x14ac:dyDescent="0.2">
      <c r="A58" s="441"/>
      <c r="B58" s="442"/>
      <c r="C58" s="442"/>
      <c r="D58" s="443"/>
      <c r="E58" s="445"/>
      <c r="F58" s="448"/>
      <c r="G58" s="449"/>
    </row>
    <row r="59" spans="1:9" ht="15" customHeight="1" x14ac:dyDescent="0.2">
      <c r="A59" s="441" t="s">
        <v>99</v>
      </c>
      <c r="B59" s="442"/>
      <c r="C59" s="442"/>
      <c r="D59" s="443"/>
      <c r="E59" s="445">
        <f>F52*0.1</f>
        <v>2.35</v>
      </c>
      <c r="F59" s="447" t="s">
        <v>49</v>
      </c>
      <c r="G59" s="406">
        <f>F52</f>
        <v>23.49</v>
      </c>
      <c r="H59" s="36">
        <f>E55-E57-E59</f>
        <v>45.2</v>
      </c>
    </row>
    <row r="60" spans="1:9" x14ac:dyDescent="0.2">
      <c r="A60" s="441"/>
      <c r="B60" s="442"/>
      <c r="C60" s="442"/>
      <c r="D60" s="443"/>
      <c r="E60" s="445"/>
      <c r="F60" s="447"/>
      <c r="G60" s="449"/>
      <c r="I60">
        <f>H59/0.15</f>
        <v>301.33333333333297</v>
      </c>
    </row>
    <row r="61" spans="1:9" ht="28.5" customHeight="1" x14ac:dyDescent="0.2">
      <c r="A61" s="435" t="s">
        <v>50</v>
      </c>
      <c r="B61" s="436"/>
      <c r="C61" s="436"/>
      <c r="D61" s="437"/>
      <c r="E61" s="74">
        <f>'4.Zdjęcie humusu'!F31+'4.Zdjęcie humusu'!F51-F31-F52</f>
        <v>266.87</v>
      </c>
      <c r="F61" s="75" t="s">
        <v>44</v>
      </c>
      <c r="G61" s="36">
        <f>G55-G57-G59</f>
        <v>266.87</v>
      </c>
    </row>
    <row r="62" spans="1:9" x14ac:dyDescent="0.2">
      <c r="E62" s="47"/>
      <c r="F62" s="38"/>
    </row>
  </sheetData>
  <mergeCells count="100">
    <mergeCell ref="G55:G56"/>
    <mergeCell ref="G57:G58"/>
    <mergeCell ref="G59:G60"/>
    <mergeCell ref="D27:E28"/>
    <mergeCell ref="F27:F28"/>
    <mergeCell ref="D29:E30"/>
    <mergeCell ref="F29:F30"/>
    <mergeCell ref="D31:E32"/>
    <mergeCell ref="F31:F32"/>
    <mergeCell ref="A35:F35"/>
    <mergeCell ref="A36:A39"/>
    <mergeCell ref="B36:B39"/>
    <mergeCell ref="C36:C39"/>
    <mergeCell ref="D36:F36"/>
    <mergeCell ref="D37:D39"/>
    <mergeCell ref="E37:E39"/>
    <mergeCell ref="E1:F2"/>
    <mergeCell ref="A3:F3"/>
    <mergeCell ref="A4:F5"/>
    <mergeCell ref="A6:F6"/>
    <mergeCell ref="A7:A10"/>
    <mergeCell ref="B7:B10"/>
    <mergeCell ref="C7:C10"/>
    <mergeCell ref="D7:F7"/>
    <mergeCell ref="D8:D10"/>
    <mergeCell ref="E8:E10"/>
    <mergeCell ref="F8:F10"/>
    <mergeCell ref="A11:A26"/>
    <mergeCell ref="B11:B12"/>
    <mergeCell ref="D11:D12"/>
    <mergeCell ref="C12:C13"/>
    <mergeCell ref="E12:E13"/>
    <mergeCell ref="B19:B20"/>
    <mergeCell ref="D19:D20"/>
    <mergeCell ref="C20:C21"/>
    <mergeCell ref="E20:E21"/>
    <mergeCell ref="F12:F13"/>
    <mergeCell ref="B13:B14"/>
    <mergeCell ref="D13:D14"/>
    <mergeCell ref="C14:C15"/>
    <mergeCell ref="E14:E15"/>
    <mergeCell ref="F14:F15"/>
    <mergeCell ref="B15:B16"/>
    <mergeCell ref="D15:D16"/>
    <mergeCell ref="C16:C17"/>
    <mergeCell ref="E16:E17"/>
    <mergeCell ref="F16:F17"/>
    <mergeCell ref="B17:B18"/>
    <mergeCell ref="D17:D18"/>
    <mergeCell ref="C18:C19"/>
    <mergeCell ref="E18:E19"/>
    <mergeCell ref="F18:F19"/>
    <mergeCell ref="F20:F21"/>
    <mergeCell ref="B21:B22"/>
    <mergeCell ref="D21:D22"/>
    <mergeCell ref="C22:C23"/>
    <mergeCell ref="E22:E23"/>
    <mergeCell ref="F22:F23"/>
    <mergeCell ref="B23:B24"/>
    <mergeCell ref="D23:D24"/>
    <mergeCell ref="C24:C25"/>
    <mergeCell ref="E24:E25"/>
    <mergeCell ref="F24:F25"/>
    <mergeCell ref="B25:B26"/>
    <mergeCell ref="D25:D26"/>
    <mergeCell ref="F37:F39"/>
    <mergeCell ref="F41:F42"/>
    <mergeCell ref="B42:B43"/>
    <mergeCell ref="D42:D43"/>
    <mergeCell ref="C43:C44"/>
    <mergeCell ref="E43:E44"/>
    <mergeCell ref="F43:F44"/>
    <mergeCell ref="A40:A47"/>
    <mergeCell ref="B40:B41"/>
    <mergeCell ref="D40:D41"/>
    <mergeCell ref="C41:C42"/>
    <mergeCell ref="E41:E42"/>
    <mergeCell ref="B44:B45"/>
    <mergeCell ref="D44:D45"/>
    <mergeCell ref="C45:C46"/>
    <mergeCell ref="E45:E46"/>
    <mergeCell ref="F45:F46"/>
    <mergeCell ref="B46:B47"/>
    <mergeCell ref="D46:D47"/>
    <mergeCell ref="D48:E49"/>
    <mergeCell ref="F48:F49"/>
    <mergeCell ref="D50:E51"/>
    <mergeCell ref="F50:F51"/>
    <mergeCell ref="D52:E53"/>
    <mergeCell ref="F52:F53"/>
    <mergeCell ref="A61:D61"/>
    <mergeCell ref="A55:D56"/>
    <mergeCell ref="E55:E56"/>
    <mergeCell ref="F55:F56"/>
    <mergeCell ref="A59:D60"/>
    <mergeCell ref="E59:E60"/>
    <mergeCell ref="F59:F60"/>
    <mergeCell ref="A57:D58"/>
    <mergeCell ref="E57:E58"/>
    <mergeCell ref="F57:F5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1" orientation="portrait" horizontalDpi="4294967293" vertic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O75"/>
  <sheetViews>
    <sheetView workbookViewId="0"/>
  </sheetViews>
  <sheetFormatPr defaultRowHeight="12.75" x14ac:dyDescent="0.2"/>
  <cols>
    <col min="1" max="1" width="7.85546875" customWidth="1"/>
    <col min="2" max="2" width="9.42578125" customWidth="1"/>
    <col min="8" max="8" width="9.85546875" bestFit="1" customWidth="1"/>
    <col min="9" max="9" width="9.140625" customWidth="1"/>
    <col min="10" max="10" width="8.42578125" customWidth="1"/>
    <col min="11" max="12" width="8.28515625" customWidth="1"/>
  </cols>
  <sheetData>
    <row r="1" spans="1:14" ht="17.25" customHeight="1" x14ac:dyDescent="0.2">
      <c r="M1" s="420" t="s">
        <v>95</v>
      </c>
      <c r="N1" s="420"/>
    </row>
    <row r="2" spans="1:14" ht="17.25" customHeight="1" x14ac:dyDescent="0.2">
      <c r="L2" s="48"/>
      <c r="M2" s="421"/>
      <c r="N2" s="421"/>
    </row>
    <row r="3" spans="1:14" ht="30.75" customHeight="1" x14ac:dyDescent="0.2">
      <c r="A3" s="422" t="s">
        <v>51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</row>
    <row r="4" spans="1:14" ht="23.25" customHeight="1" x14ac:dyDescent="0.2">
      <c r="A4" s="485" t="str">
        <f>'4.Zdjęcie humusu'!A4:F5</f>
        <v>PRZEBUDOWA DROGI WOJEWÓDZKIEJ NR 987 KOLBUSZOWA – SĘDZISZÓW MAŁOPOLSKI POLEGAJĄCA NA BUDOWIE CHODNIKA DLA PIESZYCH W KM 13+788 ÷ 13+940 STRONA LEWA W MIEJSCOWOŚCI CZARNA SĘDZISZOWSKA</v>
      </c>
      <c r="B4" s="485"/>
      <c r="C4" s="485"/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</row>
    <row r="5" spans="1:14" ht="24.75" customHeight="1" x14ac:dyDescent="0.2">
      <c r="A5" s="485"/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</row>
    <row r="6" spans="1:14" ht="24.75" customHeight="1" x14ac:dyDescent="0.2">
      <c r="A6" s="58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59"/>
    </row>
    <row r="7" spans="1:14" ht="21.75" customHeight="1" x14ac:dyDescent="0.2">
      <c r="A7" s="480" t="s">
        <v>28</v>
      </c>
      <c r="B7" s="482"/>
      <c r="C7" s="482"/>
      <c r="D7" s="482"/>
      <c r="E7" s="482"/>
      <c r="F7" s="482"/>
      <c r="G7" s="482"/>
      <c r="H7" s="482"/>
      <c r="I7" s="482"/>
      <c r="J7" s="482"/>
      <c r="K7" s="482"/>
      <c r="L7" s="482"/>
      <c r="M7" s="482"/>
      <c r="N7" s="481"/>
    </row>
    <row r="8" spans="1:14" x14ac:dyDescent="0.2">
      <c r="A8" s="411" t="s">
        <v>29</v>
      </c>
      <c r="B8" s="411" t="s">
        <v>30</v>
      </c>
      <c r="C8" s="411" t="s">
        <v>52</v>
      </c>
      <c r="D8" s="412"/>
      <c r="E8" s="411" t="s">
        <v>53</v>
      </c>
      <c r="F8" s="412"/>
      <c r="G8" s="411" t="s">
        <v>54</v>
      </c>
      <c r="H8" s="411" t="s">
        <v>55</v>
      </c>
      <c r="I8" s="412"/>
      <c r="J8" s="411" t="s">
        <v>56</v>
      </c>
      <c r="K8" s="411" t="s">
        <v>57</v>
      </c>
      <c r="L8" s="412"/>
      <c r="M8" s="411" t="s">
        <v>58</v>
      </c>
      <c r="N8" s="412"/>
    </row>
    <row r="9" spans="1:14" x14ac:dyDescent="0.2">
      <c r="A9" s="41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</row>
    <row r="10" spans="1:14" x14ac:dyDescent="0.2">
      <c r="A10" s="412"/>
      <c r="B10" s="412"/>
      <c r="C10" s="29" t="s">
        <v>59</v>
      </c>
      <c r="D10" s="29" t="s">
        <v>60</v>
      </c>
      <c r="E10" s="29" t="s">
        <v>59</v>
      </c>
      <c r="F10" s="29" t="s">
        <v>60</v>
      </c>
      <c r="G10" s="412"/>
      <c r="H10" s="29" t="s">
        <v>59</v>
      </c>
      <c r="I10" s="29" t="s">
        <v>60</v>
      </c>
      <c r="J10" s="412"/>
      <c r="K10" s="29" t="s">
        <v>59</v>
      </c>
      <c r="L10" s="29" t="s">
        <v>60</v>
      </c>
      <c r="M10" s="49" t="s">
        <v>61</v>
      </c>
      <c r="N10" s="49" t="s">
        <v>62</v>
      </c>
    </row>
    <row r="11" spans="1:14" x14ac:dyDescent="0.2">
      <c r="A11" s="412"/>
      <c r="B11" s="412"/>
      <c r="C11" s="411" t="s">
        <v>63</v>
      </c>
      <c r="D11" s="411"/>
      <c r="E11" s="411" t="s">
        <v>63</v>
      </c>
      <c r="F11" s="411"/>
      <c r="G11" s="412"/>
      <c r="H11" s="411" t="s">
        <v>64</v>
      </c>
      <c r="I11" s="411"/>
      <c r="J11" s="412"/>
      <c r="K11" s="411" t="s">
        <v>64</v>
      </c>
      <c r="L11" s="411"/>
      <c r="M11" s="411" t="s">
        <v>64</v>
      </c>
      <c r="N11" s="411"/>
    </row>
    <row r="12" spans="1:14" x14ac:dyDescent="0.2">
      <c r="A12" s="461">
        <v>13</v>
      </c>
      <c r="B12" s="415">
        <v>780</v>
      </c>
      <c r="C12" s="415">
        <v>0</v>
      </c>
      <c r="D12" s="415">
        <v>0</v>
      </c>
      <c r="E12" s="30" t="s">
        <v>2</v>
      </c>
      <c r="F12" s="30" t="s">
        <v>2</v>
      </c>
      <c r="G12" s="30" t="s">
        <v>2</v>
      </c>
      <c r="H12" s="50" t="s">
        <v>65</v>
      </c>
      <c r="I12" s="50" t="s">
        <v>66</v>
      </c>
      <c r="J12" s="50" t="s">
        <v>67</v>
      </c>
      <c r="K12" s="50" t="s">
        <v>68</v>
      </c>
      <c r="L12" s="50" t="s">
        <v>69</v>
      </c>
      <c r="M12" s="50" t="s">
        <v>70</v>
      </c>
      <c r="N12" s="50" t="s">
        <v>71</v>
      </c>
    </row>
    <row r="13" spans="1:14" x14ac:dyDescent="0.2">
      <c r="A13" s="462"/>
      <c r="B13" s="415"/>
      <c r="C13" s="415"/>
      <c r="D13" s="415"/>
      <c r="E13" s="454">
        <f>SUM(0.5*C12,0.5*C14)</f>
        <v>0.83499999999999996</v>
      </c>
      <c r="F13" s="415">
        <f>SUM(0.5*D12,0.5*D14)</f>
        <v>0.23</v>
      </c>
      <c r="G13" s="415">
        <f>SUM(B14,-B12)</f>
        <v>2.4</v>
      </c>
      <c r="H13" s="415">
        <f>PRODUCT(E13,G13)</f>
        <v>2</v>
      </c>
      <c r="I13" s="415">
        <f>PRODUCT(F13,G13)</f>
        <v>0.55000000000000004</v>
      </c>
      <c r="J13" s="415">
        <f>MIN(H13:I14)</f>
        <v>0.55000000000000004</v>
      </c>
      <c r="K13" s="415">
        <f>IF(I13&lt;H13,(H13-I13),"")</f>
        <v>1.45</v>
      </c>
      <c r="L13" s="415" t="str">
        <f>IF(H13&lt;I13,(I13-H13),"")</f>
        <v/>
      </c>
      <c r="M13" s="415">
        <f>K13</f>
        <v>1.45</v>
      </c>
      <c r="N13" s="415" t="str">
        <f>L13</f>
        <v/>
      </c>
    </row>
    <row r="14" spans="1:14" x14ac:dyDescent="0.2">
      <c r="A14" s="462"/>
      <c r="B14" s="415">
        <v>782.4</v>
      </c>
      <c r="C14" s="415">
        <v>1.67</v>
      </c>
      <c r="D14" s="415">
        <v>0.46</v>
      </c>
      <c r="E14" s="454"/>
      <c r="F14" s="415"/>
      <c r="G14" s="415"/>
      <c r="H14" s="415"/>
      <c r="I14" s="415"/>
      <c r="J14" s="415"/>
      <c r="K14" s="415"/>
      <c r="L14" s="415"/>
      <c r="M14" s="415"/>
      <c r="N14" s="415"/>
    </row>
    <row r="15" spans="1:14" x14ac:dyDescent="0.2">
      <c r="A15" s="462"/>
      <c r="B15" s="415"/>
      <c r="C15" s="415"/>
      <c r="D15" s="415"/>
      <c r="E15" s="454">
        <f>SUM(0.5*C14,0.5*C16)</f>
        <v>1.0649999999999999</v>
      </c>
      <c r="F15" s="415">
        <f>SUM(0.5*D14,0.5*D16)</f>
        <v>0.61</v>
      </c>
      <c r="G15" s="415">
        <f>SUM(B16,-B14)</f>
        <v>28.9</v>
      </c>
      <c r="H15" s="415">
        <f>PRODUCT(E15,G15)</f>
        <v>30.78</v>
      </c>
      <c r="I15" s="415">
        <f>PRODUCT(F15,G15)</f>
        <v>17.63</v>
      </c>
      <c r="J15" s="415">
        <f>MIN(H15:I16)</f>
        <v>17.63</v>
      </c>
      <c r="K15" s="415">
        <f>IF(I15&lt;H15,(H15-I15),"")</f>
        <v>13.15</v>
      </c>
      <c r="L15" s="415" t="str">
        <f>IF(H15&lt;I15,(I15-H15),"")</f>
        <v/>
      </c>
      <c r="M15" s="415">
        <f>K15+M13</f>
        <v>14.6</v>
      </c>
      <c r="N15" s="415" t="str">
        <f>L15</f>
        <v/>
      </c>
    </row>
    <row r="16" spans="1:14" x14ac:dyDescent="0.2">
      <c r="A16" s="462"/>
      <c r="B16" s="415">
        <v>811.3</v>
      </c>
      <c r="C16" s="415">
        <v>0.46</v>
      </c>
      <c r="D16" s="415">
        <v>0.76</v>
      </c>
      <c r="E16" s="454"/>
      <c r="F16" s="415"/>
      <c r="G16" s="415"/>
      <c r="H16" s="415"/>
      <c r="I16" s="415"/>
      <c r="J16" s="415"/>
      <c r="K16" s="415"/>
      <c r="L16" s="415"/>
      <c r="M16" s="415"/>
      <c r="N16" s="415"/>
    </row>
    <row r="17" spans="1:41" x14ac:dyDescent="0.2">
      <c r="A17" s="462"/>
      <c r="B17" s="415"/>
      <c r="C17" s="415"/>
      <c r="D17" s="415"/>
      <c r="E17" s="415">
        <f>SUM(0.5*C16,0.5*C18)</f>
        <v>0.56999999999999995</v>
      </c>
      <c r="F17" s="415">
        <f>SUM(0.5*D16,0.5*D18)</f>
        <v>0.81</v>
      </c>
      <c r="G17" s="415">
        <f>SUM(B18,-B16)</f>
        <v>18.7</v>
      </c>
      <c r="H17" s="415">
        <f>PRODUCT(E17,G17)</f>
        <v>10.66</v>
      </c>
      <c r="I17" s="415">
        <f>PRODUCT(F17,G17)</f>
        <v>15.15</v>
      </c>
      <c r="J17" s="415">
        <f>MIN(H17:I18)</f>
        <v>10.66</v>
      </c>
      <c r="K17" s="415" t="str">
        <f>IF(I17&lt;H17,(H17-I17),"")</f>
        <v/>
      </c>
      <c r="L17" s="415">
        <f>IF(H17&lt;I17,(I17-H17),"")</f>
        <v>4.49</v>
      </c>
      <c r="M17" s="415">
        <f>M15-L17</f>
        <v>10.11</v>
      </c>
      <c r="N17" s="415"/>
    </row>
    <row r="18" spans="1:41" x14ac:dyDescent="0.2">
      <c r="A18" s="462"/>
      <c r="B18" s="415">
        <v>830</v>
      </c>
      <c r="C18" s="415">
        <v>0.68</v>
      </c>
      <c r="D18" s="415">
        <v>0.85</v>
      </c>
      <c r="E18" s="415"/>
      <c r="F18" s="415"/>
      <c r="G18" s="415"/>
      <c r="H18" s="415"/>
      <c r="I18" s="415"/>
      <c r="J18" s="415"/>
      <c r="K18" s="415"/>
      <c r="L18" s="415"/>
      <c r="M18" s="415"/>
      <c r="N18" s="415"/>
    </row>
    <row r="19" spans="1:41" x14ac:dyDescent="0.2">
      <c r="A19" s="462"/>
      <c r="B19" s="415"/>
      <c r="C19" s="415"/>
      <c r="D19" s="415"/>
      <c r="E19" s="415">
        <f>SUM(0.5*C18,0.5*C20)</f>
        <v>0.84</v>
      </c>
      <c r="F19" s="415">
        <f>SUM(0.5*D18,0.5*D20)</f>
        <v>1.1399999999999999</v>
      </c>
      <c r="G19" s="415">
        <f>SUM(B20,-B18)</f>
        <v>31.6</v>
      </c>
      <c r="H19" s="415">
        <f>PRODUCT(E19,G19)</f>
        <v>26.54</v>
      </c>
      <c r="I19" s="415">
        <f>PRODUCT(F19,G19)</f>
        <v>36.020000000000003</v>
      </c>
      <c r="J19" s="415">
        <f>MIN(H19:I20)</f>
        <v>26.54</v>
      </c>
      <c r="K19" s="415" t="str">
        <f>IF(I19&lt;H19,(H19-I19),"")</f>
        <v/>
      </c>
      <c r="L19" s="415">
        <f>IF(H19&lt;I19,(I19-H19),"")</f>
        <v>9.48</v>
      </c>
      <c r="M19" s="415"/>
      <c r="N19" s="483">
        <f>M17-L19</f>
        <v>0.63</v>
      </c>
    </row>
    <row r="20" spans="1:41" x14ac:dyDescent="0.2">
      <c r="A20" s="462"/>
      <c r="B20" s="415">
        <v>861.6</v>
      </c>
      <c r="C20" s="415">
        <v>1</v>
      </c>
      <c r="D20" s="415">
        <v>1.43</v>
      </c>
      <c r="E20" s="415"/>
      <c r="F20" s="415"/>
      <c r="G20" s="415"/>
      <c r="H20" s="415"/>
      <c r="I20" s="415"/>
      <c r="J20" s="415"/>
      <c r="K20" s="415"/>
      <c r="L20" s="415"/>
      <c r="M20" s="415"/>
      <c r="N20" s="484"/>
    </row>
    <row r="21" spans="1:41" x14ac:dyDescent="0.2">
      <c r="A21" s="462"/>
      <c r="B21" s="415"/>
      <c r="C21" s="415"/>
      <c r="D21" s="415"/>
      <c r="E21" s="415">
        <f>SUM(0.5*C20,0.5*C22)</f>
        <v>1.03</v>
      </c>
      <c r="F21" s="415">
        <f>SUM(0.5*D20,0.5*D22)</f>
        <v>1.32</v>
      </c>
      <c r="G21" s="415">
        <f>SUM(B22,-B20)</f>
        <v>18.399999999999999</v>
      </c>
      <c r="H21" s="415">
        <f>PRODUCT(E21,G21)</f>
        <v>18.95</v>
      </c>
      <c r="I21" s="415">
        <f>PRODUCT(F21,G21)</f>
        <v>24.29</v>
      </c>
      <c r="J21" s="415">
        <f>MIN(H21:I22)</f>
        <v>18.95</v>
      </c>
      <c r="K21" s="415" t="str">
        <f>IF(I21&lt;H21,(H21-I21),"")</f>
        <v/>
      </c>
      <c r="L21" s="415">
        <f>IF(H21&lt;I21,(I21-H21),"")</f>
        <v>5.34</v>
      </c>
      <c r="M21" s="415"/>
      <c r="N21" s="415">
        <f>N19-L21</f>
        <v>-4.71</v>
      </c>
    </row>
    <row r="22" spans="1:41" x14ac:dyDescent="0.2">
      <c r="A22" s="462"/>
      <c r="B22" s="415">
        <v>880</v>
      </c>
      <c r="C22" s="415">
        <v>1.05</v>
      </c>
      <c r="D22" s="415">
        <v>1.2</v>
      </c>
      <c r="E22" s="415"/>
      <c r="F22" s="415"/>
      <c r="G22" s="415"/>
      <c r="H22" s="415"/>
      <c r="I22" s="415"/>
      <c r="J22" s="415"/>
      <c r="K22" s="415"/>
      <c r="L22" s="415"/>
      <c r="M22" s="415"/>
      <c r="N22" s="415"/>
    </row>
    <row r="23" spans="1:41" x14ac:dyDescent="0.2">
      <c r="A23" s="462"/>
      <c r="B23" s="415"/>
      <c r="C23" s="415"/>
      <c r="D23" s="415"/>
      <c r="E23" s="415">
        <f>SUM(0.5*C22,0.5*C24)</f>
        <v>0.88</v>
      </c>
      <c r="F23" s="415">
        <f>SUM(0.5*D22,0.5*D24)</f>
        <v>0.85</v>
      </c>
      <c r="G23" s="415">
        <f>SUM(B24,-B22)</f>
        <v>23.7</v>
      </c>
      <c r="H23" s="415">
        <f>PRODUCT(E23,G23)</f>
        <v>20.86</v>
      </c>
      <c r="I23" s="415">
        <f>PRODUCT(F23,G23)</f>
        <v>20.149999999999999</v>
      </c>
      <c r="J23" s="415">
        <f>MIN(H23:I24)</f>
        <v>20.149999999999999</v>
      </c>
      <c r="K23" s="415">
        <f>IF(I23&lt;H23,(H23-I23),"")</f>
        <v>0.71</v>
      </c>
      <c r="L23" s="415" t="str">
        <f>IF(H23&lt;I23,(I23-H23),"")</f>
        <v/>
      </c>
      <c r="M23" s="415"/>
      <c r="N23" s="415">
        <f>N21+K23</f>
        <v>-4</v>
      </c>
    </row>
    <row r="24" spans="1:41" x14ac:dyDescent="0.2">
      <c r="A24" s="462"/>
      <c r="B24" s="415">
        <v>903.7</v>
      </c>
      <c r="C24" s="415">
        <v>0.7</v>
      </c>
      <c r="D24" s="415">
        <v>0.5</v>
      </c>
      <c r="E24" s="415"/>
      <c r="F24" s="415"/>
      <c r="G24" s="415"/>
      <c r="H24" s="415"/>
      <c r="I24" s="415"/>
      <c r="J24" s="415"/>
      <c r="K24" s="415"/>
      <c r="L24" s="415"/>
      <c r="M24" s="415"/>
      <c r="N24" s="415"/>
    </row>
    <row r="25" spans="1:41" x14ac:dyDescent="0.2">
      <c r="A25" s="462"/>
      <c r="B25" s="415"/>
      <c r="C25" s="415"/>
      <c r="D25" s="415"/>
      <c r="E25" s="415">
        <f>SUM(0.5*C24,0.5*C26)</f>
        <v>0.9</v>
      </c>
      <c r="F25" s="415">
        <f>SUM(0.5*D24,0.5*D26)</f>
        <v>0.75</v>
      </c>
      <c r="G25" s="415">
        <f>SUM(B26,-B24)</f>
        <v>34.299999999999997</v>
      </c>
      <c r="H25" s="415">
        <f>PRODUCT(E25,G25)</f>
        <v>30.87</v>
      </c>
      <c r="I25" s="415">
        <f>PRODUCT(F25,G25)</f>
        <v>25.73</v>
      </c>
      <c r="J25" s="415">
        <f>MIN(H25:I26)</f>
        <v>25.73</v>
      </c>
      <c r="K25" s="415">
        <f>IF(I25&lt;H25,(H25-I25),"")</f>
        <v>5.14</v>
      </c>
      <c r="L25" s="415" t="str">
        <f>IF(H25&lt;I25,(I25-H25),"")</f>
        <v/>
      </c>
      <c r="M25" s="415"/>
      <c r="N25" s="415">
        <f>N23+K25</f>
        <v>1.1399999999999999</v>
      </c>
    </row>
    <row r="26" spans="1:41" ht="3.75" customHeight="1" x14ac:dyDescent="0.2">
      <c r="A26" s="462"/>
      <c r="B26" s="415">
        <v>938</v>
      </c>
      <c r="C26" s="415">
        <v>1.1000000000000001</v>
      </c>
      <c r="D26" s="415">
        <v>1</v>
      </c>
      <c r="E26" s="415"/>
      <c r="F26" s="415"/>
      <c r="G26" s="415"/>
      <c r="H26" s="415"/>
      <c r="I26" s="415"/>
      <c r="J26" s="415"/>
      <c r="K26" s="415"/>
      <c r="L26" s="415"/>
      <c r="M26" s="415"/>
      <c r="N26" s="415"/>
    </row>
    <row r="27" spans="1:41" ht="18.75" customHeight="1" x14ac:dyDescent="0.2">
      <c r="A27" s="462"/>
      <c r="B27" s="415"/>
      <c r="C27" s="415"/>
      <c r="D27" s="415"/>
      <c r="E27" s="34" t="s">
        <v>2</v>
      </c>
      <c r="F27" s="34" t="s">
        <v>2</v>
      </c>
      <c r="G27" s="34" t="s">
        <v>2</v>
      </c>
      <c r="H27" s="34" t="s">
        <v>2</v>
      </c>
      <c r="I27" s="34" t="s">
        <v>2</v>
      </c>
      <c r="J27" s="34" t="s">
        <v>2</v>
      </c>
      <c r="K27" s="34" t="s">
        <v>2</v>
      </c>
      <c r="L27" s="34" t="s">
        <v>2</v>
      </c>
      <c r="M27" s="52"/>
      <c r="N27" s="34">
        <f>N25</f>
        <v>1.1399999999999999</v>
      </c>
    </row>
    <row r="28" spans="1:41" ht="18.75" customHeight="1" x14ac:dyDescent="0.2">
      <c r="A28" s="462"/>
      <c r="B28" s="415" t="s">
        <v>2</v>
      </c>
      <c r="C28" s="415" t="s">
        <v>2</v>
      </c>
      <c r="D28" s="415" t="s">
        <v>2</v>
      </c>
      <c r="E28" s="459" t="s">
        <v>72</v>
      </c>
      <c r="F28" s="459"/>
      <c r="G28" s="459"/>
      <c r="H28" s="459">
        <f>SUM(H13:H26)</f>
        <v>140.66</v>
      </c>
      <c r="I28" s="459">
        <f>SUM(I13:I26)</f>
        <v>139.52000000000001</v>
      </c>
      <c r="J28" s="459">
        <f>SUM(J13:J26)</f>
        <v>120.21</v>
      </c>
      <c r="K28" s="459">
        <f>SUM(K13:K26)</f>
        <v>20.45</v>
      </c>
      <c r="L28" s="459">
        <f>SUM(L15:L22)</f>
        <v>19.309999999999999</v>
      </c>
      <c r="M28" s="459"/>
      <c r="N28" s="459">
        <f>N27</f>
        <v>1.1399999999999999</v>
      </c>
    </row>
    <row r="29" spans="1:41" ht="18.75" customHeight="1" x14ac:dyDescent="0.2">
      <c r="A29" s="463"/>
      <c r="B29" s="415"/>
      <c r="C29" s="415"/>
      <c r="D29" s="415"/>
      <c r="E29" s="459"/>
      <c r="F29" s="459"/>
      <c r="G29" s="459"/>
      <c r="H29" s="459"/>
      <c r="I29" s="459"/>
      <c r="J29" s="459"/>
      <c r="K29" s="459"/>
      <c r="L29" s="459"/>
      <c r="M29" s="459"/>
      <c r="N29" s="460"/>
    </row>
    <row r="30" spans="1:41" s="70" customFormat="1" ht="18.75" customHeight="1" x14ac:dyDescent="0.2">
      <c r="A30" s="61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9"/>
      <c r="N30" s="63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ht="18.75" customHeight="1" x14ac:dyDescent="0.2">
      <c r="A31" s="480" t="s">
        <v>36</v>
      </c>
      <c r="B31" s="482"/>
      <c r="C31" s="482"/>
      <c r="D31" s="482"/>
      <c r="E31" s="482"/>
      <c r="F31" s="482"/>
      <c r="G31" s="482"/>
      <c r="H31" s="482"/>
      <c r="I31" s="482"/>
      <c r="J31" s="482"/>
      <c r="K31" s="482"/>
      <c r="L31" s="482"/>
      <c r="M31" s="482"/>
      <c r="N31" s="481"/>
    </row>
    <row r="32" spans="1:41" ht="12.75" customHeight="1" x14ac:dyDescent="0.2">
      <c r="A32" s="411" t="s">
        <v>29</v>
      </c>
      <c r="B32" s="411" t="s">
        <v>30</v>
      </c>
      <c r="C32" s="411" t="s">
        <v>52</v>
      </c>
      <c r="D32" s="412"/>
      <c r="E32" s="411" t="s">
        <v>53</v>
      </c>
      <c r="F32" s="412"/>
      <c r="G32" s="411" t="s">
        <v>54</v>
      </c>
      <c r="H32" s="411" t="s">
        <v>55</v>
      </c>
      <c r="I32" s="412"/>
      <c r="J32" s="411" t="s">
        <v>56</v>
      </c>
      <c r="K32" s="411" t="s">
        <v>57</v>
      </c>
      <c r="L32" s="412"/>
      <c r="M32" s="411" t="s">
        <v>58</v>
      </c>
      <c r="N32" s="412"/>
    </row>
    <row r="33" spans="1:16" x14ac:dyDescent="0.2">
      <c r="A33" s="412"/>
      <c r="B33" s="412"/>
      <c r="C33" s="412"/>
      <c r="D33" s="412"/>
      <c r="E33" s="412"/>
      <c r="F33" s="412"/>
      <c r="G33" s="412"/>
      <c r="H33" s="412"/>
      <c r="I33" s="412"/>
      <c r="J33" s="412"/>
      <c r="K33" s="412"/>
      <c r="L33" s="412"/>
      <c r="M33" s="412"/>
      <c r="N33" s="412"/>
    </row>
    <row r="34" spans="1:16" x14ac:dyDescent="0.2">
      <c r="A34" s="412"/>
      <c r="B34" s="412"/>
      <c r="C34" s="29" t="s">
        <v>59</v>
      </c>
      <c r="D34" s="29" t="s">
        <v>60</v>
      </c>
      <c r="E34" s="29" t="s">
        <v>59</v>
      </c>
      <c r="F34" s="29" t="s">
        <v>60</v>
      </c>
      <c r="G34" s="412"/>
      <c r="H34" s="29" t="s">
        <v>59</v>
      </c>
      <c r="I34" s="29" t="s">
        <v>60</v>
      </c>
      <c r="J34" s="412"/>
      <c r="K34" s="29" t="s">
        <v>59</v>
      </c>
      <c r="L34" s="29" t="s">
        <v>60</v>
      </c>
      <c r="M34" s="49" t="s">
        <v>61</v>
      </c>
      <c r="N34" s="49" t="s">
        <v>62</v>
      </c>
    </row>
    <row r="35" spans="1:16" x14ac:dyDescent="0.2">
      <c r="A35" s="412"/>
      <c r="B35" s="412"/>
      <c r="C35" s="411" t="s">
        <v>63</v>
      </c>
      <c r="D35" s="411"/>
      <c r="E35" s="411" t="s">
        <v>63</v>
      </c>
      <c r="F35" s="411"/>
      <c r="G35" s="412"/>
      <c r="H35" s="411" t="s">
        <v>64</v>
      </c>
      <c r="I35" s="411"/>
      <c r="J35" s="412"/>
      <c r="K35" s="411" t="s">
        <v>64</v>
      </c>
      <c r="L35" s="411"/>
      <c r="M35" s="411" t="s">
        <v>64</v>
      </c>
      <c r="N35" s="411"/>
    </row>
    <row r="36" spans="1:16" x14ac:dyDescent="0.2">
      <c r="A36" s="461">
        <v>0</v>
      </c>
      <c r="B36" s="433">
        <v>12</v>
      </c>
      <c r="C36" s="415">
        <v>1.1000000000000001</v>
      </c>
      <c r="D36" s="415">
        <v>1</v>
      </c>
      <c r="E36" s="53"/>
      <c r="F36" s="53"/>
      <c r="G36" s="53"/>
      <c r="H36" s="53"/>
      <c r="I36" s="53"/>
      <c r="J36" s="53"/>
      <c r="K36" s="53"/>
      <c r="L36" s="53"/>
      <c r="M36" s="53"/>
      <c r="N36" s="53"/>
    </row>
    <row r="37" spans="1:16" x14ac:dyDescent="0.2">
      <c r="A37" s="462"/>
      <c r="B37" s="415"/>
      <c r="C37" s="415"/>
      <c r="D37" s="415"/>
      <c r="E37" s="415">
        <f>SUM(0.5*C36,0.5*C38)</f>
        <v>0.91</v>
      </c>
      <c r="F37" s="415">
        <f>SUM(0.5*D36,0.5*D38)</f>
        <v>0.9</v>
      </c>
      <c r="G37" s="415">
        <f>SUM(B38,-B36)</f>
        <v>5.7</v>
      </c>
      <c r="H37" s="415">
        <f>PRODUCT(E37,G37)</f>
        <v>5.19</v>
      </c>
      <c r="I37" s="415">
        <f>PRODUCT(F37,G37)</f>
        <v>5.13</v>
      </c>
      <c r="J37" s="415">
        <f>MIN(H37:I38)</f>
        <v>5.13</v>
      </c>
      <c r="K37" s="415">
        <f>IF(I37&lt;H37,(H37-I37),"")</f>
        <v>0.06</v>
      </c>
      <c r="L37" s="415" t="str">
        <f>IF(H37&lt;I37,(I37-H37),"")</f>
        <v/>
      </c>
      <c r="M37" s="415"/>
      <c r="N37" s="415">
        <f>N27+K37</f>
        <v>1.2</v>
      </c>
    </row>
    <row r="38" spans="1:16" x14ac:dyDescent="0.2">
      <c r="A38" s="462"/>
      <c r="B38" s="415">
        <v>17.7</v>
      </c>
      <c r="C38" s="415">
        <v>0.72</v>
      </c>
      <c r="D38" s="415">
        <v>0.8</v>
      </c>
      <c r="E38" s="415"/>
      <c r="F38" s="415"/>
      <c r="G38" s="415"/>
      <c r="H38" s="415"/>
      <c r="I38" s="415"/>
      <c r="J38" s="415"/>
      <c r="K38" s="415"/>
      <c r="L38" s="415"/>
      <c r="M38" s="415"/>
      <c r="N38" s="415"/>
    </row>
    <row r="39" spans="1:16" x14ac:dyDescent="0.2">
      <c r="A39" s="462"/>
      <c r="B39" s="415"/>
      <c r="C39" s="415"/>
      <c r="D39" s="415"/>
      <c r="E39" s="415">
        <f>SUM(0.5*C38,0.5*C40)</f>
        <v>0.76</v>
      </c>
      <c r="F39" s="415">
        <f>SUM(0.5*D38,0.5*D40)</f>
        <v>0.73</v>
      </c>
      <c r="G39" s="415">
        <f>SUM(B40,-B38)</f>
        <v>17.3</v>
      </c>
      <c r="H39" s="415">
        <f>PRODUCT(E39,G39)</f>
        <v>13.15</v>
      </c>
      <c r="I39" s="415">
        <f>PRODUCT(F39,G39)</f>
        <v>12.63</v>
      </c>
      <c r="J39" s="415">
        <f>MIN(H39:I40)</f>
        <v>12.63</v>
      </c>
      <c r="K39" s="415">
        <f>IF(I39&lt;H39,(H39-I39),"")</f>
        <v>0.52</v>
      </c>
      <c r="L39" s="415" t="str">
        <f>IF(H39&lt;I39,(I39-H39),"")</f>
        <v/>
      </c>
      <c r="M39" s="415"/>
      <c r="N39" s="415">
        <f>N37+K39</f>
        <v>1.72</v>
      </c>
    </row>
    <row r="40" spans="1:16" x14ac:dyDescent="0.2">
      <c r="A40" s="462"/>
      <c r="B40" s="415">
        <v>35</v>
      </c>
      <c r="C40" s="415">
        <v>0.8</v>
      </c>
      <c r="D40" s="415">
        <v>0.65</v>
      </c>
      <c r="E40" s="415"/>
      <c r="F40" s="415"/>
      <c r="G40" s="415"/>
      <c r="H40" s="415"/>
      <c r="I40" s="415"/>
      <c r="J40" s="415"/>
      <c r="K40" s="415"/>
      <c r="L40" s="415"/>
      <c r="M40" s="415"/>
      <c r="N40" s="415"/>
    </row>
    <row r="41" spans="1:16" x14ac:dyDescent="0.2">
      <c r="A41" s="462"/>
      <c r="B41" s="415"/>
      <c r="C41" s="415"/>
      <c r="D41" s="415"/>
      <c r="E41" s="415">
        <f>SUM(0.5*C40,0.5*C42)</f>
        <v>0.4</v>
      </c>
      <c r="F41" s="415">
        <f>SUM(0.5*D40,0.5*D42)</f>
        <v>0.33</v>
      </c>
      <c r="G41" s="415">
        <f>SUM(B42,-B40)</f>
        <v>17</v>
      </c>
      <c r="H41" s="415">
        <f>PRODUCT(E41,G41)</f>
        <v>6.8</v>
      </c>
      <c r="I41" s="415">
        <f>PRODUCT(F41,G41)</f>
        <v>5.61</v>
      </c>
      <c r="J41" s="415">
        <f>MIN(H41:I42)</f>
        <v>5.61</v>
      </c>
      <c r="K41" s="415">
        <f>IF(I41&lt;H41,(H41-I41),"")</f>
        <v>1.19</v>
      </c>
      <c r="L41" s="415" t="str">
        <f>IF(H41&lt;I41,(I41-H41),"")</f>
        <v/>
      </c>
      <c r="M41" s="415">
        <f>N39+K41</f>
        <v>2.91</v>
      </c>
      <c r="N41" s="415"/>
    </row>
    <row r="42" spans="1:16" x14ac:dyDescent="0.2">
      <c r="A42" s="462"/>
      <c r="B42" s="415">
        <v>52</v>
      </c>
      <c r="C42" s="415">
        <v>0</v>
      </c>
      <c r="D42" s="415">
        <v>0</v>
      </c>
      <c r="E42" s="415"/>
      <c r="F42" s="415"/>
      <c r="G42" s="415"/>
      <c r="H42" s="415"/>
      <c r="I42" s="415"/>
      <c r="J42" s="415"/>
      <c r="K42" s="415"/>
      <c r="L42" s="415"/>
      <c r="M42" s="415"/>
      <c r="N42" s="415"/>
    </row>
    <row r="43" spans="1:16" ht="17.25" customHeight="1" x14ac:dyDescent="0.2">
      <c r="A43" s="462"/>
      <c r="B43" s="415"/>
      <c r="C43" s="415"/>
      <c r="D43" s="415"/>
      <c r="E43" s="30" t="s">
        <v>2</v>
      </c>
      <c r="F43" s="30" t="s">
        <v>2</v>
      </c>
      <c r="G43" s="30" t="s">
        <v>2</v>
      </c>
      <c r="H43" s="30" t="s">
        <v>2</v>
      </c>
      <c r="I43" s="30" t="s">
        <v>2</v>
      </c>
      <c r="J43" s="30" t="s">
        <v>2</v>
      </c>
      <c r="K43" s="30" t="s">
        <v>2</v>
      </c>
      <c r="L43" s="30" t="s">
        <v>2</v>
      </c>
      <c r="M43" s="30">
        <f>M41</f>
        <v>2.91</v>
      </c>
      <c r="N43" s="30"/>
    </row>
    <row r="44" spans="1:16" ht="12.75" customHeight="1" x14ac:dyDescent="0.2">
      <c r="A44" s="462"/>
      <c r="B44" s="415" t="s">
        <v>2</v>
      </c>
      <c r="C44" s="415" t="s">
        <v>2</v>
      </c>
      <c r="D44" s="415" t="s">
        <v>2</v>
      </c>
      <c r="E44" s="459" t="s">
        <v>72</v>
      </c>
      <c r="F44" s="459"/>
      <c r="G44" s="459"/>
      <c r="H44" s="459">
        <f>SUM(H37:H43)</f>
        <v>25.14</v>
      </c>
      <c r="I44" s="459">
        <f>SUM(I37:I43)</f>
        <v>23.37</v>
      </c>
      <c r="J44" s="459">
        <f>SUM(J13:J43)</f>
        <v>263.79000000000002</v>
      </c>
      <c r="K44" s="459">
        <f>SUM(K13:K43)</f>
        <v>42.67</v>
      </c>
      <c r="L44" s="459">
        <f>SUM(L13:L43)</f>
        <v>38.619999999999997</v>
      </c>
      <c r="M44" s="459">
        <f>M43</f>
        <v>2.91</v>
      </c>
      <c r="N44" s="459"/>
    </row>
    <row r="45" spans="1:16" ht="13.5" customHeight="1" x14ac:dyDescent="0.2">
      <c r="A45" s="463"/>
      <c r="B45" s="415"/>
      <c r="C45" s="415"/>
      <c r="D45" s="415"/>
      <c r="E45" s="459"/>
      <c r="F45" s="459"/>
      <c r="G45" s="459"/>
      <c r="H45" s="459"/>
      <c r="I45" s="459"/>
      <c r="J45" s="459"/>
      <c r="K45" s="459"/>
      <c r="L45" s="459"/>
      <c r="M45" s="459"/>
      <c r="N45" s="459"/>
    </row>
    <row r="46" spans="1:16" ht="14.25" customHeight="1" x14ac:dyDescent="0.2"/>
    <row r="47" spans="1:16" ht="43.5" customHeight="1" x14ac:dyDescent="0.2">
      <c r="B47" s="472" t="s">
        <v>105</v>
      </c>
      <c r="C47" s="473"/>
      <c r="D47" s="473"/>
      <c r="E47" s="473"/>
      <c r="F47" s="473"/>
      <c r="G47" s="474"/>
      <c r="H47" s="478" t="s">
        <v>73</v>
      </c>
      <c r="I47" s="478" t="s">
        <v>74</v>
      </c>
      <c r="J47" s="480" t="s">
        <v>75</v>
      </c>
      <c r="K47" s="481"/>
      <c r="P47" s="36"/>
    </row>
    <row r="48" spans="1:16" ht="15.75" customHeight="1" x14ac:dyDescent="0.2">
      <c r="B48" s="475"/>
      <c r="C48" s="476"/>
      <c r="D48" s="476"/>
      <c r="E48" s="476"/>
      <c r="F48" s="476"/>
      <c r="G48" s="477"/>
      <c r="H48" s="479"/>
      <c r="I48" s="479"/>
      <c r="J48" s="51" t="s">
        <v>61</v>
      </c>
      <c r="K48" s="51" t="s">
        <v>62</v>
      </c>
      <c r="P48" s="36"/>
    </row>
    <row r="49" spans="2:11" ht="30.75" customHeight="1" x14ac:dyDescent="0.2">
      <c r="B49" s="467" t="s">
        <v>76</v>
      </c>
      <c r="C49" s="467"/>
      <c r="D49" s="467"/>
      <c r="E49" s="467"/>
      <c r="F49" s="467"/>
      <c r="G49" s="467"/>
      <c r="H49" s="468">
        <f>(3.14*1*1)*1.6+(3.14*1*1)*1.66+(3.14*1*1)*1.67+(3.14*1*1)*1.18</f>
        <v>19.190000000000001</v>
      </c>
      <c r="I49" s="468">
        <f>H49-((3.14*0.6*0.6)*1.6+(3.14*0.6*0.6)*1.66+(3.14*0.6*0.6)*1.67+(3.14*0.6*0.6)*1.18)</f>
        <v>12.28</v>
      </c>
      <c r="J49" s="415">
        <f>IF(I49&lt;H49,(H49-I49),"")</f>
        <v>6.91</v>
      </c>
      <c r="K49" s="469" t="str">
        <f>IF(H49&lt;I49,(H49-I49),"")</f>
        <v/>
      </c>
    </row>
    <row r="50" spans="2:11" ht="24" customHeight="1" x14ac:dyDescent="0.2">
      <c r="B50" s="467"/>
      <c r="C50" s="467"/>
      <c r="D50" s="467"/>
      <c r="E50" s="467"/>
      <c r="F50" s="467"/>
      <c r="G50" s="467"/>
      <c r="H50" s="468"/>
      <c r="I50" s="468"/>
      <c r="J50" s="415"/>
      <c r="K50" s="470"/>
    </row>
    <row r="51" spans="2:11" x14ac:dyDescent="0.2">
      <c r="B51" s="467" t="s">
        <v>77</v>
      </c>
      <c r="C51" s="467"/>
      <c r="D51" s="467"/>
      <c r="E51" s="467"/>
      <c r="F51" s="467"/>
      <c r="G51" s="467"/>
      <c r="H51" s="468">
        <f>1.1*(3.14*1.25*1.25)</f>
        <v>5.4</v>
      </c>
      <c r="I51" s="471">
        <f>H51-(1.1*(3.14*0.75*0.75))</f>
        <v>3.457125</v>
      </c>
      <c r="J51" s="415">
        <f>IF(I51&lt;H51,(H51-I51),"")</f>
        <v>1.94</v>
      </c>
      <c r="K51" s="469" t="str">
        <f>IF(H51&lt;I51,(H51-I51),"")</f>
        <v/>
      </c>
    </row>
    <row r="52" spans="2:11" ht="20.25" customHeight="1" x14ac:dyDescent="0.2">
      <c r="B52" s="467"/>
      <c r="C52" s="467"/>
      <c r="D52" s="467"/>
      <c r="E52" s="467"/>
      <c r="F52" s="467"/>
      <c r="G52" s="467"/>
      <c r="H52" s="468"/>
      <c r="I52" s="471"/>
      <c r="J52" s="415"/>
      <c r="K52" s="470"/>
    </row>
    <row r="53" spans="2:11" ht="16.5" customHeight="1" x14ac:dyDescent="0.2">
      <c r="B53" s="467" t="s">
        <v>78</v>
      </c>
      <c r="C53" s="467"/>
      <c r="D53" s="467"/>
      <c r="E53" s="467"/>
      <c r="F53" s="467"/>
      <c r="G53" s="467"/>
      <c r="H53" s="471">
        <f>1*0.5*11</f>
        <v>5.5</v>
      </c>
      <c r="I53" s="468">
        <f>0.8*0.5*11</f>
        <v>4.4000000000000004</v>
      </c>
      <c r="J53" s="415">
        <f>IF(I53&lt;H53,(H53-I53),"")</f>
        <v>1.1000000000000001</v>
      </c>
      <c r="K53" s="469" t="str">
        <f>IF(H53&lt;I53,(H53-I53),"")</f>
        <v/>
      </c>
    </row>
    <row r="54" spans="2:11" ht="7.5" customHeight="1" x14ac:dyDescent="0.2">
      <c r="B54" s="467"/>
      <c r="C54" s="467"/>
      <c r="D54" s="467"/>
      <c r="E54" s="467"/>
      <c r="F54" s="467"/>
      <c r="G54" s="467"/>
      <c r="H54" s="471"/>
      <c r="I54" s="468"/>
      <c r="J54" s="415"/>
      <c r="K54" s="470"/>
    </row>
    <row r="55" spans="2:11" x14ac:dyDescent="0.2">
      <c r="B55" s="467" t="s">
        <v>79</v>
      </c>
      <c r="C55" s="467"/>
      <c r="D55" s="467"/>
      <c r="E55" s="467"/>
      <c r="F55" s="467"/>
      <c r="G55" s="467"/>
      <c r="H55" s="468">
        <f>1*1*1.7*4</f>
        <v>6.8</v>
      </c>
      <c r="I55" s="468">
        <f>H55-(0.25*0.25*3.14)*1.7*4</f>
        <v>5.47</v>
      </c>
      <c r="J55" s="415">
        <f>IF(I55&lt;H55,(H55-I55),"")</f>
        <v>1.33</v>
      </c>
      <c r="K55" s="469" t="str">
        <f>IF(H55&lt;I55,(H55-I55),"")</f>
        <v/>
      </c>
    </row>
    <row r="56" spans="2:11" x14ac:dyDescent="0.2">
      <c r="B56" s="467"/>
      <c r="C56" s="467"/>
      <c r="D56" s="467"/>
      <c r="E56" s="467"/>
      <c r="F56" s="467"/>
      <c r="G56" s="467"/>
      <c r="H56" s="468"/>
      <c r="I56" s="468"/>
      <c r="J56" s="415"/>
      <c r="K56" s="470"/>
    </row>
    <row r="57" spans="2:11" ht="21" customHeight="1" x14ac:dyDescent="0.2">
      <c r="I57" s="54" t="s">
        <v>0</v>
      </c>
      <c r="J57" s="55">
        <f>SUM(J49:J56)</f>
        <v>11.28</v>
      </c>
      <c r="K57" s="55">
        <f>SUM(K49:K56)</f>
        <v>0</v>
      </c>
    </row>
    <row r="60" spans="2:11" ht="13.5" thickBot="1" x14ac:dyDescent="0.25"/>
    <row r="61" spans="2:11" ht="15" customHeight="1" x14ac:dyDescent="0.2">
      <c r="B61" s="464" t="s">
        <v>106</v>
      </c>
      <c r="C61" s="465"/>
      <c r="D61" s="465"/>
      <c r="E61" s="465"/>
      <c r="F61" s="465"/>
      <c r="G61" s="465"/>
      <c r="H61" s="465"/>
      <c r="I61" s="466"/>
    </row>
    <row r="62" spans="2:11" ht="12.75" customHeight="1" x14ac:dyDescent="0.2">
      <c r="B62" s="450" t="s">
        <v>80</v>
      </c>
      <c r="C62" s="451"/>
      <c r="D62" s="451"/>
      <c r="E62" s="451"/>
      <c r="F62" s="451"/>
      <c r="G62" s="451"/>
      <c r="H62" s="452">
        <f>H28+J57</f>
        <v>151.94</v>
      </c>
      <c r="I62" s="453"/>
    </row>
    <row r="63" spans="2:11" x14ac:dyDescent="0.2">
      <c r="B63" s="450"/>
      <c r="C63" s="451"/>
      <c r="D63" s="451"/>
      <c r="E63" s="451"/>
      <c r="F63" s="451"/>
      <c r="G63" s="451"/>
      <c r="H63" s="454"/>
      <c r="I63" s="453"/>
    </row>
    <row r="64" spans="2:11" ht="12.75" customHeight="1" x14ac:dyDescent="0.2">
      <c r="B64" s="450" t="s">
        <v>81</v>
      </c>
      <c r="C64" s="451"/>
      <c r="D64" s="451"/>
      <c r="E64" s="451"/>
      <c r="F64" s="451"/>
      <c r="G64" s="451"/>
      <c r="H64" s="452">
        <f>I28</f>
        <v>139.52000000000001</v>
      </c>
      <c r="I64" s="453"/>
    </row>
    <row r="65" spans="2:9" x14ac:dyDescent="0.2">
      <c r="B65" s="450"/>
      <c r="C65" s="451"/>
      <c r="D65" s="451"/>
      <c r="E65" s="451"/>
      <c r="F65" s="451"/>
      <c r="G65" s="451"/>
      <c r="H65" s="454"/>
      <c r="I65" s="453"/>
    </row>
    <row r="66" spans="2:9" ht="12.75" customHeight="1" x14ac:dyDescent="0.2">
      <c r="B66" s="450" t="s">
        <v>82</v>
      </c>
      <c r="C66" s="451"/>
      <c r="D66" s="451"/>
      <c r="E66" s="451"/>
      <c r="F66" s="451"/>
      <c r="G66" s="451"/>
      <c r="H66" s="452">
        <f>H62-H64</f>
        <v>12.42</v>
      </c>
      <c r="I66" s="453"/>
    </row>
    <row r="67" spans="2:9" ht="18" customHeight="1" thickBot="1" x14ac:dyDescent="0.25">
      <c r="B67" s="455"/>
      <c r="C67" s="456"/>
      <c r="D67" s="456"/>
      <c r="E67" s="456"/>
      <c r="F67" s="456"/>
      <c r="G67" s="456"/>
      <c r="H67" s="457"/>
      <c r="I67" s="458"/>
    </row>
    <row r="68" spans="2:9" ht="13.5" thickBot="1" x14ac:dyDescent="0.25"/>
    <row r="69" spans="2:9" ht="15" x14ac:dyDescent="0.2">
      <c r="B69" s="464" t="s">
        <v>107</v>
      </c>
      <c r="C69" s="465"/>
      <c r="D69" s="465"/>
      <c r="E69" s="465"/>
      <c r="F69" s="465"/>
      <c r="G69" s="465"/>
      <c r="H69" s="465"/>
      <c r="I69" s="466"/>
    </row>
    <row r="70" spans="2:9" x14ac:dyDescent="0.2">
      <c r="B70" s="450" t="s">
        <v>80</v>
      </c>
      <c r="C70" s="451"/>
      <c r="D70" s="451"/>
      <c r="E70" s="451"/>
      <c r="F70" s="451"/>
      <c r="G70" s="451"/>
      <c r="H70" s="452">
        <f>H44</f>
        <v>25.14</v>
      </c>
      <c r="I70" s="453"/>
    </row>
    <row r="71" spans="2:9" x14ac:dyDescent="0.2">
      <c r="B71" s="450"/>
      <c r="C71" s="451"/>
      <c r="D71" s="451"/>
      <c r="E71" s="451"/>
      <c r="F71" s="451"/>
      <c r="G71" s="451"/>
      <c r="H71" s="454"/>
      <c r="I71" s="453"/>
    </row>
    <row r="72" spans="2:9" x14ac:dyDescent="0.2">
      <c r="B72" s="450" t="s">
        <v>81</v>
      </c>
      <c r="C72" s="451"/>
      <c r="D72" s="451"/>
      <c r="E72" s="451"/>
      <c r="F72" s="451"/>
      <c r="G72" s="451"/>
      <c r="H72" s="452">
        <f>I44</f>
        <v>23.37</v>
      </c>
      <c r="I72" s="453"/>
    </row>
    <row r="73" spans="2:9" x14ac:dyDescent="0.2">
      <c r="B73" s="450"/>
      <c r="C73" s="451"/>
      <c r="D73" s="451"/>
      <c r="E73" s="451"/>
      <c r="F73" s="451"/>
      <c r="G73" s="451"/>
      <c r="H73" s="454"/>
      <c r="I73" s="453"/>
    </row>
    <row r="74" spans="2:9" x14ac:dyDescent="0.2">
      <c r="B74" s="450" t="s">
        <v>82</v>
      </c>
      <c r="C74" s="451"/>
      <c r="D74" s="451"/>
      <c r="E74" s="451"/>
      <c r="F74" s="451"/>
      <c r="G74" s="451"/>
      <c r="H74" s="452">
        <f>H70-H72</f>
        <v>1.77</v>
      </c>
      <c r="I74" s="453"/>
    </row>
    <row r="75" spans="2:9" ht="13.5" thickBot="1" x14ac:dyDescent="0.25">
      <c r="B75" s="455"/>
      <c r="C75" s="456"/>
      <c r="D75" s="456"/>
      <c r="E75" s="456"/>
      <c r="F75" s="456"/>
      <c r="G75" s="456"/>
      <c r="H75" s="457"/>
      <c r="I75" s="458"/>
    </row>
  </sheetData>
  <mergeCells count="231">
    <mergeCell ref="J8:J11"/>
    <mergeCell ref="K8:L9"/>
    <mergeCell ref="M8:N9"/>
    <mergeCell ref="C11:D11"/>
    <mergeCell ref="E11:F11"/>
    <mergeCell ref="H11:I11"/>
    <mergeCell ref="K11:L11"/>
    <mergeCell ref="M11:N11"/>
    <mergeCell ref="M1:N2"/>
    <mergeCell ref="A3:N3"/>
    <mergeCell ref="A4:N5"/>
    <mergeCell ref="A7:N7"/>
    <mergeCell ref="A8:A11"/>
    <mergeCell ref="B8:B11"/>
    <mergeCell ref="C8:D9"/>
    <mergeCell ref="E8:F9"/>
    <mergeCell ref="G8:G11"/>
    <mergeCell ref="H8:I9"/>
    <mergeCell ref="M13:M14"/>
    <mergeCell ref="N13:N14"/>
    <mergeCell ref="B14:B15"/>
    <mergeCell ref="C14:C15"/>
    <mergeCell ref="D14:D15"/>
    <mergeCell ref="E15:E16"/>
    <mergeCell ref="F15:F16"/>
    <mergeCell ref="G15:G16"/>
    <mergeCell ref="H15:H16"/>
    <mergeCell ref="I15:I16"/>
    <mergeCell ref="G13:G14"/>
    <mergeCell ref="H13:H14"/>
    <mergeCell ref="I13:I14"/>
    <mergeCell ref="J13:J14"/>
    <mergeCell ref="K13:K14"/>
    <mergeCell ref="L13:L14"/>
    <mergeCell ref="B12:B13"/>
    <mergeCell ref="C12:C13"/>
    <mergeCell ref="D12:D13"/>
    <mergeCell ref="E13:E14"/>
    <mergeCell ref="F13:F14"/>
    <mergeCell ref="J15:J16"/>
    <mergeCell ref="K15:K16"/>
    <mergeCell ref="L15:L16"/>
    <mergeCell ref="M15:M16"/>
    <mergeCell ref="N15:N16"/>
    <mergeCell ref="B16:B17"/>
    <mergeCell ref="C16:C17"/>
    <mergeCell ref="D16:D17"/>
    <mergeCell ref="E17:E18"/>
    <mergeCell ref="F17:F18"/>
    <mergeCell ref="M17:M18"/>
    <mergeCell ref="N17:N18"/>
    <mergeCell ref="B18:B19"/>
    <mergeCell ref="C18:C19"/>
    <mergeCell ref="D18:D19"/>
    <mergeCell ref="E19:E20"/>
    <mergeCell ref="F19:F20"/>
    <mergeCell ref="G19:G20"/>
    <mergeCell ref="H19:H20"/>
    <mergeCell ref="I19:I20"/>
    <mergeCell ref="G17:G18"/>
    <mergeCell ref="H17:H18"/>
    <mergeCell ref="I17:I18"/>
    <mergeCell ref="J17:J18"/>
    <mergeCell ref="K17:K18"/>
    <mergeCell ref="L17:L18"/>
    <mergeCell ref="N19:N20"/>
    <mergeCell ref="F23:F24"/>
    <mergeCell ref="G23:G24"/>
    <mergeCell ref="K23:K24"/>
    <mergeCell ref="H23:H24"/>
    <mergeCell ref="I23:I24"/>
    <mergeCell ref="D24:D25"/>
    <mergeCell ref="E25:E26"/>
    <mergeCell ref="F25:F26"/>
    <mergeCell ref="C20:C21"/>
    <mergeCell ref="D20:D21"/>
    <mergeCell ref="E21:E22"/>
    <mergeCell ref="F21:F22"/>
    <mergeCell ref="I21:I22"/>
    <mergeCell ref="J21:J22"/>
    <mergeCell ref="J19:J20"/>
    <mergeCell ref="K19:K20"/>
    <mergeCell ref="N23:N24"/>
    <mergeCell ref="B24:B25"/>
    <mergeCell ref="C24:C25"/>
    <mergeCell ref="K25:K26"/>
    <mergeCell ref="L25:L26"/>
    <mergeCell ref="J23:J24"/>
    <mergeCell ref="L23:L24"/>
    <mergeCell ref="G21:G22"/>
    <mergeCell ref="H21:H22"/>
    <mergeCell ref="M23:M24"/>
    <mergeCell ref="M25:M26"/>
    <mergeCell ref="M21:M22"/>
    <mergeCell ref="N21:N22"/>
    <mergeCell ref="K21:K22"/>
    <mergeCell ref="L21:L22"/>
    <mergeCell ref="N25:N26"/>
    <mergeCell ref="B26:B27"/>
    <mergeCell ref="B20:B21"/>
    <mergeCell ref="B22:B23"/>
    <mergeCell ref="L19:L20"/>
    <mergeCell ref="M19:M20"/>
    <mergeCell ref="C22:C23"/>
    <mergeCell ref="D22:D23"/>
    <mergeCell ref="E23:E24"/>
    <mergeCell ref="M32:N33"/>
    <mergeCell ref="C35:D35"/>
    <mergeCell ref="E35:F35"/>
    <mergeCell ref="H35:I35"/>
    <mergeCell ref="K35:L35"/>
    <mergeCell ref="M35:N35"/>
    <mergeCell ref="A31:N31"/>
    <mergeCell ref="G25:G26"/>
    <mergeCell ref="H25:H26"/>
    <mergeCell ref="I25:I26"/>
    <mergeCell ref="J25:J26"/>
    <mergeCell ref="A32:A35"/>
    <mergeCell ref="B32:B35"/>
    <mergeCell ref="C32:D33"/>
    <mergeCell ref="E32:F33"/>
    <mergeCell ref="G32:G35"/>
    <mergeCell ref="C26:C27"/>
    <mergeCell ref="D26:D27"/>
    <mergeCell ref="A36:A45"/>
    <mergeCell ref="B36:B37"/>
    <mergeCell ref="C36:C37"/>
    <mergeCell ref="D36:D37"/>
    <mergeCell ref="E37:E38"/>
    <mergeCell ref="F37:F38"/>
    <mergeCell ref="H32:I33"/>
    <mergeCell ref="J32:J35"/>
    <mergeCell ref="K32:L33"/>
    <mergeCell ref="E41:E42"/>
    <mergeCell ref="F41:F42"/>
    <mergeCell ref="I44:I45"/>
    <mergeCell ref="J44:J45"/>
    <mergeCell ref="K44:K45"/>
    <mergeCell ref="L44:L45"/>
    <mergeCell ref="M37:M38"/>
    <mergeCell ref="N37:N38"/>
    <mergeCell ref="B38:B39"/>
    <mergeCell ref="C38:C39"/>
    <mergeCell ref="D38:D39"/>
    <mergeCell ref="E39:E40"/>
    <mergeCell ref="F39:F40"/>
    <mergeCell ref="G39:G40"/>
    <mergeCell ref="H39:H40"/>
    <mergeCell ref="I39:I40"/>
    <mergeCell ref="G37:G38"/>
    <mergeCell ref="H37:H38"/>
    <mergeCell ref="I37:I38"/>
    <mergeCell ref="J37:J38"/>
    <mergeCell ref="K37:K38"/>
    <mergeCell ref="L37:L38"/>
    <mergeCell ref="J39:J40"/>
    <mergeCell ref="K39:K40"/>
    <mergeCell ref="L39:L40"/>
    <mergeCell ref="M39:M40"/>
    <mergeCell ref="N39:N40"/>
    <mergeCell ref="B40:B41"/>
    <mergeCell ref="C40:C41"/>
    <mergeCell ref="D40:D41"/>
    <mergeCell ref="M44:M45"/>
    <mergeCell ref="N44:N45"/>
    <mergeCell ref="M41:M42"/>
    <mergeCell ref="N41:N42"/>
    <mergeCell ref="B42:B43"/>
    <mergeCell ref="C42:C43"/>
    <mergeCell ref="D42:D43"/>
    <mergeCell ref="B44:B45"/>
    <mergeCell ref="C44:C45"/>
    <mergeCell ref="D44:D45"/>
    <mergeCell ref="E44:G45"/>
    <mergeCell ref="H44:H45"/>
    <mergeCell ref="G41:G42"/>
    <mergeCell ref="H41:H42"/>
    <mergeCell ref="I41:I42"/>
    <mergeCell ref="J41:J42"/>
    <mergeCell ref="K41:K42"/>
    <mergeCell ref="L41:L42"/>
    <mergeCell ref="B47:G48"/>
    <mergeCell ref="H47:H48"/>
    <mergeCell ref="I47:I48"/>
    <mergeCell ref="J47:K47"/>
    <mergeCell ref="B49:G50"/>
    <mergeCell ref="H49:H50"/>
    <mergeCell ref="I49:I50"/>
    <mergeCell ref="J49:J50"/>
    <mergeCell ref="K49:K50"/>
    <mergeCell ref="H66:I67"/>
    <mergeCell ref="B55:G56"/>
    <mergeCell ref="H55:H56"/>
    <mergeCell ref="I55:I56"/>
    <mergeCell ref="J55:J56"/>
    <mergeCell ref="K55:K56"/>
    <mergeCell ref="B61:I61"/>
    <mergeCell ref="B51:G52"/>
    <mergeCell ref="H51:H52"/>
    <mergeCell ref="I51:I52"/>
    <mergeCell ref="J51:J52"/>
    <mergeCell ref="K51:K52"/>
    <mergeCell ref="B53:G54"/>
    <mergeCell ref="H53:H54"/>
    <mergeCell ref="I53:I54"/>
    <mergeCell ref="J53:J54"/>
    <mergeCell ref="K53:K54"/>
    <mergeCell ref="B72:G73"/>
    <mergeCell ref="H72:I73"/>
    <mergeCell ref="B74:G75"/>
    <mergeCell ref="H74:I75"/>
    <mergeCell ref="N28:N29"/>
    <mergeCell ref="A12:A29"/>
    <mergeCell ref="I28:I29"/>
    <mergeCell ref="J28:J29"/>
    <mergeCell ref="K28:K29"/>
    <mergeCell ref="L28:L29"/>
    <mergeCell ref="M28:M29"/>
    <mergeCell ref="D28:D29"/>
    <mergeCell ref="E28:G29"/>
    <mergeCell ref="B28:B29"/>
    <mergeCell ref="C28:C29"/>
    <mergeCell ref="H28:H29"/>
    <mergeCell ref="B69:I69"/>
    <mergeCell ref="B70:G71"/>
    <mergeCell ref="H70:I71"/>
    <mergeCell ref="B62:G63"/>
    <mergeCell ref="H62:I63"/>
    <mergeCell ref="B64:G65"/>
    <mergeCell ref="H64:I65"/>
    <mergeCell ref="B66:G67"/>
  </mergeCells>
  <printOptions horizontalCentered="1"/>
  <pageMargins left="0.74803149606299213" right="0.74803149606299213" top="0.98425196850393704" bottom="0.98425196850393704" header="0.51181102362204722" footer="0.51181102362204722"/>
  <pageSetup paperSize="8" scale="92" fitToWidth="0" orientation="portrait" horizontalDpi="4294967294" verticalDpi="429496729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J54"/>
  <sheetViews>
    <sheetView workbookViewId="0"/>
  </sheetViews>
  <sheetFormatPr defaultRowHeight="12.75" x14ac:dyDescent="0.2"/>
  <cols>
    <col min="4" max="4" width="11.5703125" customWidth="1"/>
    <col min="5" max="5" width="10.42578125" customWidth="1"/>
    <col min="6" max="6" width="10.5703125" customWidth="1"/>
  </cols>
  <sheetData>
    <row r="1" spans="1:9" ht="18.75" customHeight="1" x14ac:dyDescent="0.2">
      <c r="E1" s="487" t="s">
        <v>83</v>
      </c>
      <c r="F1" s="487"/>
      <c r="G1" s="487"/>
    </row>
    <row r="2" spans="1:9" x14ac:dyDescent="0.2">
      <c r="H2" s="488"/>
      <c r="I2" s="488"/>
    </row>
    <row r="3" spans="1:9" ht="12.75" customHeight="1" x14ac:dyDescent="0.2">
      <c r="A3" s="489" t="s">
        <v>84</v>
      </c>
      <c r="B3" s="489"/>
      <c r="C3" s="489"/>
      <c r="D3" s="489"/>
      <c r="E3" s="489"/>
      <c r="F3" s="489"/>
      <c r="G3" s="56"/>
      <c r="H3" s="56"/>
      <c r="I3" s="56"/>
    </row>
    <row r="4" spans="1:9" ht="12.75" customHeight="1" x14ac:dyDescent="0.2">
      <c r="A4" s="489"/>
      <c r="B4" s="489"/>
      <c r="C4" s="489"/>
      <c r="D4" s="489"/>
      <c r="E4" s="489"/>
      <c r="F4" s="489"/>
      <c r="G4" s="56"/>
      <c r="H4" s="56"/>
      <c r="I4" s="56"/>
    </row>
    <row r="5" spans="1:9" ht="12.75" customHeight="1" x14ac:dyDescent="0.2">
      <c r="A5" s="423" t="s">
        <v>96</v>
      </c>
      <c r="B5" s="423"/>
      <c r="C5" s="423"/>
      <c r="D5" s="423"/>
      <c r="E5" s="423"/>
      <c r="F5" s="423"/>
      <c r="G5" s="56"/>
      <c r="H5" s="56"/>
      <c r="I5" s="56"/>
    </row>
    <row r="6" spans="1:9" ht="69.75" customHeight="1" x14ac:dyDescent="0.2">
      <c r="A6" s="423"/>
      <c r="B6" s="423"/>
      <c r="C6" s="423"/>
      <c r="D6" s="423"/>
      <c r="E6" s="423"/>
      <c r="F6" s="423"/>
      <c r="G6" s="28"/>
      <c r="H6" s="28"/>
      <c r="I6" s="28"/>
    </row>
    <row r="7" spans="1:9" ht="12.75" customHeight="1" x14ac:dyDescent="0.2">
      <c r="A7" s="424" t="s">
        <v>28</v>
      </c>
      <c r="B7" s="425"/>
      <c r="C7" s="425"/>
      <c r="D7" s="425"/>
      <c r="E7" s="425"/>
      <c r="F7" s="426"/>
    </row>
    <row r="8" spans="1:9" ht="12.75" customHeight="1" x14ac:dyDescent="0.2">
      <c r="A8" s="411" t="s">
        <v>29</v>
      </c>
      <c r="B8" s="411" t="s">
        <v>30</v>
      </c>
      <c r="C8" s="411" t="s">
        <v>31</v>
      </c>
      <c r="D8" s="413" t="s">
        <v>85</v>
      </c>
      <c r="E8" s="413"/>
      <c r="F8" s="413"/>
    </row>
    <row r="9" spans="1:9" x14ac:dyDescent="0.2">
      <c r="A9" s="412"/>
      <c r="B9" s="412"/>
      <c r="C9" s="411"/>
      <c r="D9" s="411" t="s">
        <v>33</v>
      </c>
      <c r="E9" s="411" t="s">
        <v>34</v>
      </c>
      <c r="F9" s="411" t="s">
        <v>35</v>
      </c>
    </row>
    <row r="10" spans="1:9" x14ac:dyDescent="0.2">
      <c r="A10" s="412"/>
      <c r="B10" s="412"/>
      <c r="C10" s="411"/>
      <c r="D10" s="411"/>
      <c r="E10" s="411"/>
      <c r="F10" s="411"/>
    </row>
    <row r="11" spans="1:9" ht="12" customHeight="1" x14ac:dyDescent="0.2">
      <c r="A11" s="412"/>
      <c r="B11" s="412"/>
      <c r="C11" s="411"/>
      <c r="D11" s="411"/>
      <c r="E11" s="411"/>
      <c r="F11" s="411"/>
      <c r="G11" s="486"/>
    </row>
    <row r="12" spans="1:9" ht="12" customHeight="1" x14ac:dyDescent="0.2">
      <c r="A12" s="419">
        <v>13</v>
      </c>
      <c r="B12" s="415">
        <v>780</v>
      </c>
      <c r="C12" s="30" t="s">
        <v>2</v>
      </c>
      <c r="D12" s="410">
        <v>0</v>
      </c>
      <c r="E12" s="31" t="s">
        <v>2</v>
      </c>
      <c r="F12" s="31" t="s">
        <v>2</v>
      </c>
      <c r="G12" s="486"/>
    </row>
    <row r="13" spans="1:9" ht="12" customHeight="1" x14ac:dyDescent="0.2">
      <c r="A13" s="419"/>
      <c r="B13" s="415"/>
      <c r="C13" s="415">
        <f>B14-B12</f>
        <v>2.4</v>
      </c>
      <c r="D13" s="410"/>
      <c r="E13" s="410">
        <f>SUM(0.5*D12,0.5*D14)</f>
        <v>0.65</v>
      </c>
      <c r="F13" s="410">
        <f>PRODUCT(C13,E13)</f>
        <v>1.56</v>
      </c>
      <c r="G13" s="486"/>
    </row>
    <row r="14" spans="1:9" ht="12" customHeight="1" x14ac:dyDescent="0.2">
      <c r="A14" s="419"/>
      <c r="B14" s="415">
        <v>782.4</v>
      </c>
      <c r="C14" s="415"/>
      <c r="D14" s="418">
        <v>1.3</v>
      </c>
      <c r="E14" s="410"/>
      <c r="F14" s="410"/>
      <c r="G14" s="486"/>
    </row>
    <row r="15" spans="1:9" ht="12" customHeight="1" x14ac:dyDescent="0.2">
      <c r="A15" s="419"/>
      <c r="B15" s="415"/>
      <c r="C15" s="415">
        <f>B16-B14</f>
        <v>28.9</v>
      </c>
      <c r="D15" s="434"/>
      <c r="E15" s="410">
        <f>SUM(0.5*D14,0.5*D16)</f>
        <v>1.45</v>
      </c>
      <c r="F15" s="410">
        <f>PRODUCT(C15,E15)</f>
        <v>41.91</v>
      </c>
      <c r="G15" s="486"/>
    </row>
    <row r="16" spans="1:9" ht="12" customHeight="1" x14ac:dyDescent="0.2">
      <c r="A16" s="419"/>
      <c r="B16" s="415">
        <v>811.3</v>
      </c>
      <c r="C16" s="415"/>
      <c r="D16" s="410">
        <v>1.6</v>
      </c>
      <c r="E16" s="410"/>
      <c r="F16" s="410"/>
      <c r="G16" s="486"/>
    </row>
    <row r="17" spans="1:7" ht="12" customHeight="1" x14ac:dyDescent="0.2">
      <c r="A17" s="419"/>
      <c r="B17" s="415"/>
      <c r="C17" s="415">
        <f>B18-B16</f>
        <v>18.7</v>
      </c>
      <c r="D17" s="410"/>
      <c r="E17" s="410">
        <f>SUM(0.5*D16,0.5*D18)</f>
        <v>1.6</v>
      </c>
      <c r="F17" s="410">
        <f>PRODUCT(C17,E17)</f>
        <v>29.92</v>
      </c>
      <c r="G17" s="486"/>
    </row>
    <row r="18" spans="1:7" ht="12" customHeight="1" x14ac:dyDescent="0.2">
      <c r="A18" s="419"/>
      <c r="B18" s="415">
        <v>830</v>
      </c>
      <c r="C18" s="415"/>
      <c r="D18" s="410">
        <v>1.6</v>
      </c>
      <c r="E18" s="410"/>
      <c r="F18" s="410"/>
      <c r="G18" s="486"/>
    </row>
    <row r="19" spans="1:7" ht="12" customHeight="1" x14ac:dyDescent="0.2">
      <c r="A19" s="419"/>
      <c r="B19" s="415"/>
      <c r="C19" s="415">
        <f>B20-B18</f>
        <v>31.6</v>
      </c>
      <c r="D19" s="410"/>
      <c r="E19" s="410">
        <f>SUM(0.5*D18,0.5*D20)</f>
        <v>1.6</v>
      </c>
      <c r="F19" s="410">
        <f>PRODUCT(C19,E19)</f>
        <v>50.56</v>
      </c>
      <c r="G19" s="486"/>
    </row>
    <row r="20" spans="1:7" ht="12" customHeight="1" x14ac:dyDescent="0.2">
      <c r="A20" s="419"/>
      <c r="B20" s="415">
        <v>861.6</v>
      </c>
      <c r="C20" s="415"/>
      <c r="D20" s="410">
        <v>1.6</v>
      </c>
      <c r="E20" s="410"/>
      <c r="F20" s="410"/>
      <c r="G20" s="486"/>
    </row>
    <row r="21" spans="1:7" ht="12" customHeight="1" x14ac:dyDescent="0.2">
      <c r="A21" s="419"/>
      <c r="B21" s="415"/>
      <c r="C21" s="415">
        <f>B22-B20</f>
        <v>18.399999999999999</v>
      </c>
      <c r="D21" s="410"/>
      <c r="E21" s="410">
        <f>SUM(0.5*D20,0.5*D22)</f>
        <v>1.6</v>
      </c>
      <c r="F21" s="410">
        <f>PRODUCT(C21,E21)</f>
        <v>29.44</v>
      </c>
      <c r="G21" s="486"/>
    </row>
    <row r="22" spans="1:7" ht="12" customHeight="1" x14ac:dyDescent="0.2">
      <c r="A22" s="419"/>
      <c r="B22" s="415">
        <v>880</v>
      </c>
      <c r="C22" s="415"/>
      <c r="D22" s="410">
        <v>1.6</v>
      </c>
      <c r="E22" s="410"/>
      <c r="F22" s="410"/>
      <c r="G22" s="486"/>
    </row>
    <row r="23" spans="1:7" ht="12" customHeight="1" x14ac:dyDescent="0.2">
      <c r="A23" s="419"/>
      <c r="B23" s="415"/>
      <c r="C23" s="415">
        <f>B24-B22</f>
        <v>23.7</v>
      </c>
      <c r="D23" s="410"/>
      <c r="E23" s="410">
        <f>SUM(0.5*D22,0.5*D24)</f>
        <v>1.6</v>
      </c>
      <c r="F23" s="410">
        <f>PRODUCT(C23,E23)</f>
        <v>37.92</v>
      </c>
      <c r="G23" s="486"/>
    </row>
    <row r="24" spans="1:7" ht="12" customHeight="1" x14ac:dyDescent="0.2">
      <c r="A24" s="419"/>
      <c r="B24" s="415">
        <v>903.7</v>
      </c>
      <c r="C24" s="415"/>
      <c r="D24" s="410">
        <v>1.6</v>
      </c>
      <c r="E24" s="410"/>
      <c r="F24" s="410"/>
      <c r="G24" s="486"/>
    </row>
    <row r="25" spans="1:7" ht="12" customHeight="1" x14ac:dyDescent="0.2">
      <c r="A25" s="419"/>
      <c r="B25" s="415"/>
      <c r="C25" s="415">
        <f>B26-B24</f>
        <v>34.299999999999997</v>
      </c>
      <c r="D25" s="410"/>
      <c r="E25" s="410">
        <f>SUM(0.5*D24,0.5*D26)</f>
        <v>2.4</v>
      </c>
      <c r="F25" s="410">
        <f>PRODUCT(C25,E25)</f>
        <v>82.32</v>
      </c>
      <c r="G25" s="486"/>
    </row>
    <row r="26" spans="1:7" ht="12" customHeight="1" x14ac:dyDescent="0.2">
      <c r="A26" s="419"/>
      <c r="B26" s="415">
        <v>938</v>
      </c>
      <c r="C26" s="415"/>
      <c r="D26" s="410">
        <v>3.2</v>
      </c>
      <c r="E26" s="410"/>
      <c r="F26" s="410"/>
      <c r="G26" s="486"/>
    </row>
    <row r="27" spans="1:7" ht="12" customHeight="1" x14ac:dyDescent="0.2">
      <c r="A27" s="419"/>
      <c r="B27" s="415"/>
      <c r="C27" s="30" t="s">
        <v>2</v>
      </c>
      <c r="D27" s="418"/>
      <c r="E27" s="57" t="s">
        <v>2</v>
      </c>
      <c r="F27" s="57" t="s">
        <v>2</v>
      </c>
      <c r="G27" s="486"/>
    </row>
    <row r="28" spans="1:7" ht="12" customHeight="1" x14ac:dyDescent="0.2">
      <c r="A28" s="61"/>
      <c r="B28" s="63"/>
      <c r="C28" s="63"/>
      <c r="D28" s="416" t="s">
        <v>37</v>
      </c>
      <c r="E28" s="416"/>
      <c r="F28" s="417">
        <f>SUM(F13:F26)</f>
        <v>273.63</v>
      </c>
      <c r="G28" s="449"/>
    </row>
    <row r="29" spans="1:7" ht="12" customHeight="1" x14ac:dyDescent="0.2">
      <c r="A29" s="64"/>
      <c r="B29" s="65"/>
      <c r="C29" s="65"/>
      <c r="D29" s="416"/>
      <c r="E29" s="416"/>
      <c r="F29" s="417"/>
      <c r="G29" s="449"/>
    </row>
    <row r="30" spans="1:7" ht="12" customHeight="1" x14ac:dyDescent="0.2">
      <c r="A30" s="64"/>
      <c r="B30" s="65"/>
      <c r="C30" s="65"/>
      <c r="D30" s="416" t="s">
        <v>38</v>
      </c>
      <c r="E30" s="416"/>
      <c r="F30" s="417">
        <f>-(6.5*0.8+4.5*0.8+12.5*0.8)</f>
        <v>-18.8</v>
      </c>
      <c r="G30" s="449"/>
    </row>
    <row r="31" spans="1:7" ht="12" customHeight="1" x14ac:dyDescent="0.2">
      <c r="A31" s="64"/>
      <c r="B31" s="65"/>
      <c r="C31" s="65"/>
      <c r="D31" s="416"/>
      <c r="E31" s="416"/>
      <c r="F31" s="417"/>
      <c r="G31" s="449"/>
    </row>
    <row r="32" spans="1:7" ht="12" customHeight="1" x14ac:dyDescent="0.2">
      <c r="A32" s="64"/>
      <c r="B32" s="65"/>
      <c r="C32" s="65"/>
      <c r="D32" s="416" t="s">
        <v>97</v>
      </c>
      <c r="E32" s="416"/>
      <c r="F32" s="417">
        <f>F28+F30</f>
        <v>254.83</v>
      </c>
      <c r="G32" s="449"/>
    </row>
    <row r="33" spans="1:10" ht="12" customHeight="1" x14ac:dyDescent="0.2">
      <c r="A33" s="64"/>
      <c r="B33" s="65"/>
      <c r="C33" s="65"/>
      <c r="D33" s="416"/>
      <c r="E33" s="416"/>
      <c r="F33" s="417"/>
      <c r="G33" s="449"/>
    </row>
    <row r="34" spans="1:10" ht="12" customHeight="1" x14ac:dyDescent="0.2">
      <c r="A34" s="64"/>
      <c r="B34" s="65"/>
      <c r="C34" s="65"/>
      <c r="D34" s="66"/>
      <c r="E34" s="66"/>
      <c r="F34" s="66"/>
      <c r="G34" s="449"/>
    </row>
    <row r="35" spans="1:10" ht="12" customHeight="1" x14ac:dyDescent="0.2">
      <c r="A35" s="71"/>
      <c r="B35" s="72"/>
      <c r="C35" s="72"/>
      <c r="D35" s="73"/>
      <c r="E35" s="73"/>
      <c r="F35" s="73"/>
      <c r="G35" s="449"/>
    </row>
    <row r="36" spans="1:10" ht="12" customHeight="1" x14ac:dyDescent="0.2">
      <c r="A36" s="424" t="s">
        <v>36</v>
      </c>
      <c r="B36" s="425"/>
      <c r="C36" s="425"/>
      <c r="D36" s="425"/>
      <c r="E36" s="425"/>
      <c r="F36" s="426"/>
      <c r="G36" s="486"/>
    </row>
    <row r="37" spans="1:10" ht="12" customHeight="1" x14ac:dyDescent="0.2">
      <c r="A37" s="411" t="s">
        <v>29</v>
      </c>
      <c r="B37" s="411" t="s">
        <v>30</v>
      </c>
      <c r="C37" s="411" t="s">
        <v>31</v>
      </c>
      <c r="D37" s="413" t="s">
        <v>85</v>
      </c>
      <c r="E37" s="413"/>
      <c r="F37" s="413"/>
      <c r="J37" s="36"/>
    </row>
    <row r="38" spans="1:10" ht="12" customHeight="1" x14ac:dyDescent="0.2">
      <c r="A38" s="412"/>
      <c r="B38" s="412"/>
      <c r="C38" s="411"/>
      <c r="D38" s="411" t="s">
        <v>33</v>
      </c>
      <c r="E38" s="411" t="s">
        <v>34</v>
      </c>
      <c r="F38" s="411" t="s">
        <v>35</v>
      </c>
      <c r="J38" s="36"/>
    </row>
    <row r="39" spans="1:10" ht="12" customHeight="1" x14ac:dyDescent="0.2">
      <c r="A39" s="412"/>
      <c r="B39" s="412"/>
      <c r="C39" s="411"/>
      <c r="D39" s="411"/>
      <c r="E39" s="411"/>
      <c r="F39" s="411"/>
      <c r="H39" s="36"/>
    </row>
    <row r="40" spans="1:10" ht="12" customHeight="1" x14ac:dyDescent="0.2">
      <c r="A40" s="412"/>
      <c r="B40" s="412"/>
      <c r="C40" s="411"/>
      <c r="D40" s="411"/>
      <c r="E40" s="411"/>
      <c r="F40" s="411"/>
    </row>
    <row r="41" spans="1:10" x14ac:dyDescent="0.2">
      <c r="A41" s="419">
        <v>0</v>
      </c>
      <c r="B41" s="433">
        <v>12</v>
      </c>
      <c r="C41" s="32" t="s">
        <v>2</v>
      </c>
      <c r="D41" s="434">
        <v>2.2000000000000002</v>
      </c>
      <c r="E41" s="33" t="s">
        <v>2</v>
      </c>
      <c r="F41" s="33" t="s">
        <v>2</v>
      </c>
    </row>
    <row r="42" spans="1:10" x14ac:dyDescent="0.2">
      <c r="A42" s="419"/>
      <c r="B42" s="415"/>
      <c r="C42" s="415">
        <f>B43-B41</f>
        <v>5.7</v>
      </c>
      <c r="D42" s="418"/>
      <c r="E42" s="410">
        <f>SUM(0.5*D41,0.5*D43)</f>
        <v>1.65</v>
      </c>
      <c r="F42" s="410">
        <f>PRODUCT(C42,E42)</f>
        <v>9.41</v>
      </c>
    </row>
    <row r="43" spans="1:10" x14ac:dyDescent="0.2">
      <c r="A43" s="419"/>
      <c r="B43" s="415">
        <v>17.7</v>
      </c>
      <c r="C43" s="415"/>
      <c r="D43" s="410">
        <v>1.1000000000000001</v>
      </c>
      <c r="E43" s="410"/>
      <c r="F43" s="410"/>
    </row>
    <row r="44" spans="1:10" x14ac:dyDescent="0.2">
      <c r="A44" s="419"/>
      <c r="B44" s="415"/>
      <c r="C44" s="408">
        <f>B45-B43</f>
        <v>17.3</v>
      </c>
      <c r="D44" s="418"/>
      <c r="E44" s="410">
        <f>SUM(0.5*D43,0.5*D45)</f>
        <v>1.1000000000000001</v>
      </c>
      <c r="F44" s="410">
        <f>PRODUCT(C44,E44)</f>
        <v>19.03</v>
      </c>
    </row>
    <row r="45" spans="1:10" x14ac:dyDescent="0.2">
      <c r="A45" s="419"/>
      <c r="B45" s="415">
        <v>35</v>
      </c>
      <c r="C45" s="409"/>
      <c r="D45" s="410">
        <v>1.1000000000000001</v>
      </c>
      <c r="E45" s="410"/>
      <c r="F45" s="410"/>
    </row>
    <row r="46" spans="1:10" x14ac:dyDescent="0.2">
      <c r="A46" s="419"/>
      <c r="B46" s="415"/>
      <c r="C46" s="408">
        <f>B47-B45</f>
        <v>17</v>
      </c>
      <c r="D46" s="418"/>
      <c r="E46" s="410">
        <f>SUM(0.5*D45,0.5*D47)</f>
        <v>0.55000000000000004</v>
      </c>
      <c r="F46" s="410">
        <f>PRODUCT(C46,E46)</f>
        <v>9.35</v>
      </c>
    </row>
    <row r="47" spans="1:10" x14ac:dyDescent="0.2">
      <c r="A47" s="419"/>
      <c r="B47" s="415">
        <v>52</v>
      </c>
      <c r="C47" s="409"/>
      <c r="D47" s="410">
        <v>0</v>
      </c>
      <c r="E47" s="410"/>
      <c r="F47" s="410"/>
    </row>
    <row r="48" spans="1:10" x14ac:dyDescent="0.2">
      <c r="A48" s="419"/>
      <c r="B48" s="415"/>
      <c r="C48" s="30" t="s">
        <v>2</v>
      </c>
      <c r="D48" s="418"/>
      <c r="E48" s="57" t="s">
        <v>2</v>
      </c>
      <c r="F48" s="57" t="s">
        <v>2</v>
      </c>
    </row>
    <row r="49" spans="3:6" x14ac:dyDescent="0.2">
      <c r="D49" s="416" t="s">
        <v>37</v>
      </c>
      <c r="E49" s="416"/>
      <c r="F49" s="417">
        <f>SUM(F42:F48)</f>
        <v>37.79</v>
      </c>
    </row>
    <row r="50" spans="3:6" ht="13.5" customHeight="1" x14ac:dyDescent="0.2">
      <c r="C50" s="26"/>
      <c r="D50" s="416"/>
      <c r="E50" s="416"/>
      <c r="F50" s="417"/>
    </row>
    <row r="51" spans="3:6" x14ac:dyDescent="0.2">
      <c r="D51" s="416" t="s">
        <v>38</v>
      </c>
      <c r="E51" s="416"/>
      <c r="F51" s="417">
        <f>-(10.5*0.8+8*0.8)</f>
        <v>-14.8</v>
      </c>
    </row>
    <row r="52" spans="3:6" x14ac:dyDescent="0.2">
      <c r="D52" s="416"/>
      <c r="E52" s="416"/>
      <c r="F52" s="417"/>
    </row>
    <row r="53" spans="3:6" x14ac:dyDescent="0.2">
      <c r="D53" s="416" t="s">
        <v>98</v>
      </c>
      <c r="E53" s="416"/>
      <c r="F53" s="417">
        <f>F49+F51</f>
        <v>22.99</v>
      </c>
    </row>
    <row r="54" spans="3:6" x14ac:dyDescent="0.2">
      <c r="D54" s="416"/>
      <c r="E54" s="416"/>
      <c r="F54" s="417"/>
    </row>
  </sheetData>
  <mergeCells count="97">
    <mergeCell ref="E1:G1"/>
    <mergeCell ref="H2:I2"/>
    <mergeCell ref="A3:F4"/>
    <mergeCell ref="A5:F6"/>
    <mergeCell ref="A7:F7"/>
    <mergeCell ref="E9:E11"/>
    <mergeCell ref="F9:F11"/>
    <mergeCell ref="G11:G12"/>
    <mergeCell ref="A12:A27"/>
    <mergeCell ref="B12:B13"/>
    <mergeCell ref="D12:D13"/>
    <mergeCell ref="C13:C14"/>
    <mergeCell ref="E13:E14"/>
    <mergeCell ref="F13:F14"/>
    <mergeCell ref="G13:G14"/>
    <mergeCell ref="A8:A11"/>
    <mergeCell ref="B8:B11"/>
    <mergeCell ref="C8:C11"/>
    <mergeCell ref="D8:F8"/>
    <mergeCell ref="D9:D11"/>
    <mergeCell ref="G15:G16"/>
    <mergeCell ref="B16:B17"/>
    <mergeCell ref="D16:D17"/>
    <mergeCell ref="C17:C18"/>
    <mergeCell ref="E17:E18"/>
    <mergeCell ref="B14:B15"/>
    <mergeCell ref="D14:D15"/>
    <mergeCell ref="C15:C16"/>
    <mergeCell ref="E15:E16"/>
    <mergeCell ref="F15:F16"/>
    <mergeCell ref="F17:F18"/>
    <mergeCell ref="G17:G18"/>
    <mergeCell ref="B18:B19"/>
    <mergeCell ref="D18:D19"/>
    <mergeCell ref="C19:C20"/>
    <mergeCell ref="E19:E20"/>
    <mergeCell ref="F19:F20"/>
    <mergeCell ref="G19:G20"/>
    <mergeCell ref="B20:B21"/>
    <mergeCell ref="D20:D21"/>
    <mergeCell ref="C21:C22"/>
    <mergeCell ref="E21:E22"/>
    <mergeCell ref="F21:F22"/>
    <mergeCell ref="G21:G22"/>
    <mergeCell ref="B22:B23"/>
    <mergeCell ref="D22:D23"/>
    <mergeCell ref="C23:C24"/>
    <mergeCell ref="E23:E24"/>
    <mergeCell ref="F23:F24"/>
    <mergeCell ref="G23:G24"/>
    <mergeCell ref="G25:G26"/>
    <mergeCell ref="B26:B27"/>
    <mergeCell ref="D26:D27"/>
    <mergeCell ref="G27:G36"/>
    <mergeCell ref="A36:F36"/>
    <mergeCell ref="B24:B25"/>
    <mergeCell ref="D24:D25"/>
    <mergeCell ref="C25:C26"/>
    <mergeCell ref="E25:E26"/>
    <mergeCell ref="F25:F26"/>
    <mergeCell ref="C44:C45"/>
    <mergeCell ref="E44:E45"/>
    <mergeCell ref="F44:F45"/>
    <mergeCell ref="A37:A40"/>
    <mergeCell ref="B37:B40"/>
    <mergeCell ref="C37:C40"/>
    <mergeCell ref="D37:F37"/>
    <mergeCell ref="D38:D40"/>
    <mergeCell ref="E38:E40"/>
    <mergeCell ref="F38:F40"/>
    <mergeCell ref="B47:B48"/>
    <mergeCell ref="D47:D48"/>
    <mergeCell ref="D49:E50"/>
    <mergeCell ref="F49:F50"/>
    <mergeCell ref="A41:A48"/>
    <mergeCell ref="B41:B42"/>
    <mergeCell ref="D41:D42"/>
    <mergeCell ref="C42:C43"/>
    <mergeCell ref="E42:E43"/>
    <mergeCell ref="B45:B46"/>
    <mergeCell ref="D45:D46"/>
    <mergeCell ref="C46:C47"/>
    <mergeCell ref="E46:E47"/>
    <mergeCell ref="F42:F43"/>
    <mergeCell ref="B43:B44"/>
    <mergeCell ref="D43:D44"/>
    <mergeCell ref="D51:E52"/>
    <mergeCell ref="F51:F52"/>
    <mergeCell ref="D53:E54"/>
    <mergeCell ref="F53:F54"/>
    <mergeCell ref="D28:E29"/>
    <mergeCell ref="F28:F29"/>
    <mergeCell ref="D30:E31"/>
    <mergeCell ref="F30:F31"/>
    <mergeCell ref="D32:E33"/>
    <mergeCell ref="F32:F33"/>
    <mergeCell ref="F46:F47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6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14</vt:i4>
      </vt:variant>
    </vt:vector>
  </HeadingPairs>
  <TitlesOfParts>
    <vt:vector size="26" baseType="lpstr">
      <vt:lpstr>strona tyt KI</vt:lpstr>
      <vt:lpstr>KO</vt:lpstr>
      <vt:lpstr>PRZEDMIAR</vt:lpstr>
      <vt:lpstr>5.1. Brzeziny - Dół Płn.</vt:lpstr>
      <vt:lpstr>5.2. Brzeziny - Dół Płn.</vt:lpstr>
      <vt:lpstr>4.Zdjęcie humusu</vt:lpstr>
      <vt:lpstr>5. Humusowanie</vt:lpstr>
      <vt:lpstr>6.Wykopy-Nasypy</vt:lpstr>
      <vt:lpstr>7.Koryto</vt:lpstr>
      <vt:lpstr>8.odcinająca</vt:lpstr>
      <vt:lpstr>9.wiążąca</vt:lpstr>
      <vt:lpstr>10.ścieralna</vt:lpstr>
      <vt:lpstr>'10.ścieralna'!Obszar_wydruku</vt:lpstr>
      <vt:lpstr>'4.Zdjęcie humusu'!Obszar_wydruku</vt:lpstr>
      <vt:lpstr>'5. Humusowanie'!Obszar_wydruku</vt:lpstr>
      <vt:lpstr>'5.1. Brzeziny - Dół Płn.'!Obszar_wydruku</vt:lpstr>
      <vt:lpstr>'5.2. Brzeziny - Dół Płn.'!Obszar_wydruku</vt:lpstr>
      <vt:lpstr>'6.Wykopy-Nasypy'!Obszar_wydruku</vt:lpstr>
      <vt:lpstr>'7.Koryto'!Obszar_wydruku</vt:lpstr>
      <vt:lpstr>'8.odcinająca'!Obszar_wydruku</vt:lpstr>
      <vt:lpstr>'9.wiążąca'!Obszar_wydruku</vt:lpstr>
      <vt:lpstr>KO!Obszar_wydruku</vt:lpstr>
      <vt:lpstr>PRZEDMIAR!Obszar_wydruku</vt:lpstr>
      <vt:lpstr>'strona tyt KI'!Obszar_wydruku</vt:lpstr>
      <vt:lpstr>KO!Print_Area</vt:lpstr>
      <vt:lpstr>PRZEDMIAR!Print_Area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RC15</dc:creator>
  <cp:lastModifiedBy>Andrzej Kaszuba</cp:lastModifiedBy>
  <cp:lastPrinted>2023-01-13T13:08:38Z</cp:lastPrinted>
  <dcterms:created xsi:type="dcterms:W3CDTF">1997-02-26T13:46:56Z</dcterms:created>
  <dcterms:modified xsi:type="dcterms:W3CDTF">2024-02-09T10:56:13Z</dcterms:modified>
</cp:coreProperties>
</file>